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69_Corona allgemein\Internet\"/>
    </mc:Choice>
  </mc:AlternateContent>
  <xr:revisionPtr revIDLastSave="0" documentId="13_ncr:1_{78655F36-23A5-450E-803E-C3E910016108}" xr6:coauthVersionLast="36" xr6:coauthVersionMax="36" xr10:uidLastSave="{00000000-0000-0000-0000-000000000000}"/>
  <bookViews>
    <workbookView xWindow="0" yWindow="0" windowWidth="19200" windowHeight="10785" xr2:uid="{A28DF359-BD4E-48F6-9C54-3F0B4C981977}"/>
  </bookViews>
  <sheets>
    <sheet name="Beendete Verfahren" sheetId="5" r:id="rId1"/>
    <sheet name="Laufende Verfahren" sheetId="1" r:id="rId2"/>
    <sheet name="KHG 4_4a" sheetId="2" r:id="rId3"/>
    <sheet name="CT" sheetId="4" r:id="rId4"/>
  </sheets>
  <definedNames>
    <definedName name="_xlnm.Print_Area" localSheetId="0">'Beendete Verfahren'!$A$1:$M$122</definedName>
    <definedName name="_xlnm.Print_Area" localSheetId="3">CT!$A$1:$J$32</definedName>
    <definedName name="_xlnm.Print_Area" localSheetId="2">'KHG 4_4a'!$A$1:$G$31</definedName>
    <definedName name="_xlnm.Print_Area" localSheetId="1">'Laufende Verfahren'!$A$1:$I$79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4" i="5" l="1"/>
  <c r="M114" i="5"/>
  <c r="M115" i="5" s="1"/>
  <c r="F115" i="5"/>
  <c r="D115" i="5"/>
  <c r="C115" i="5"/>
  <c r="E115" i="5"/>
  <c r="G115" i="5"/>
  <c r="H115" i="5"/>
  <c r="I115" i="5"/>
  <c r="J115" i="5"/>
  <c r="K115" i="5"/>
  <c r="L115" i="5"/>
  <c r="B115" i="5"/>
  <c r="B70" i="1"/>
  <c r="F70" i="1"/>
  <c r="D70" i="1"/>
  <c r="E70" i="1" l="1"/>
  <c r="I70" i="1"/>
  <c r="I71" i="1" s="1"/>
  <c r="H71" i="1"/>
  <c r="G71" i="1"/>
  <c r="F71" i="1"/>
  <c r="E71" i="1"/>
  <c r="D71" i="1"/>
  <c r="C71" i="1"/>
  <c r="B71" i="1"/>
  <c r="H70" i="1"/>
  <c r="C22" i="1" l="1"/>
  <c r="I22" i="1"/>
  <c r="B20" i="1"/>
  <c r="I20" i="1"/>
  <c r="E69" i="1" l="1"/>
  <c r="C69" i="1"/>
  <c r="I69" i="1" s="1"/>
  <c r="I116" i="5" l="1"/>
  <c r="H116" i="5"/>
  <c r="G116" i="5"/>
  <c r="F116" i="5"/>
  <c r="E116" i="5"/>
  <c r="D116" i="5"/>
  <c r="C116" i="5"/>
  <c r="B116" i="5"/>
  <c r="F113" i="5"/>
  <c r="M113" i="5" l="1"/>
  <c r="C66" i="1" l="1"/>
  <c r="G68" i="1" l="1"/>
  <c r="D68" i="1"/>
  <c r="H68" i="1"/>
  <c r="F68" i="1"/>
  <c r="E68" i="1"/>
  <c r="C68" i="1"/>
  <c r="D67" i="1" l="1"/>
  <c r="B67" i="1"/>
  <c r="F67" i="1"/>
  <c r="I68" i="1" l="1"/>
  <c r="H67" i="1"/>
  <c r="E67" i="1"/>
  <c r="I67" i="1" s="1"/>
  <c r="M112" i="5"/>
  <c r="I112" i="5"/>
  <c r="F112" i="5"/>
  <c r="I66" i="1" l="1"/>
  <c r="K116" i="5" l="1"/>
  <c r="L116" i="5" l="1"/>
  <c r="J116" i="5"/>
  <c r="K111" i="5"/>
  <c r="M111" i="5"/>
  <c r="G111" i="5"/>
  <c r="C111" i="5"/>
  <c r="B111" i="5"/>
  <c r="L62" i="5" l="1"/>
  <c r="L109" i="5"/>
  <c r="M109" i="5" l="1"/>
  <c r="M110" i="5"/>
  <c r="L88" i="5"/>
  <c r="L48" i="5"/>
  <c r="H51" i="1" l="1"/>
  <c r="C19" i="1"/>
  <c r="D19" i="1"/>
  <c r="E19" i="1"/>
  <c r="F19" i="1"/>
  <c r="G19" i="1"/>
  <c r="H19" i="1"/>
  <c r="C88" i="5" l="1"/>
  <c r="D88" i="5"/>
  <c r="E88" i="5"/>
  <c r="F88" i="5"/>
  <c r="G88" i="5"/>
  <c r="H88" i="5"/>
  <c r="I88" i="5"/>
  <c r="J88" i="5"/>
  <c r="K88" i="5"/>
  <c r="B88" i="5"/>
  <c r="E48" i="5"/>
  <c r="F48" i="5"/>
  <c r="G48" i="5"/>
  <c r="H48" i="5"/>
  <c r="I48" i="5"/>
  <c r="J48" i="5"/>
  <c r="K48" i="5"/>
  <c r="C48" i="5"/>
  <c r="D48" i="5"/>
  <c r="B48" i="5"/>
  <c r="F110" i="5" l="1"/>
  <c r="M104" i="5" l="1"/>
  <c r="M103" i="5"/>
  <c r="M100" i="5"/>
  <c r="M101" i="5"/>
  <c r="M102" i="5"/>
  <c r="M93" i="5"/>
  <c r="M94" i="5"/>
  <c r="M95" i="5"/>
  <c r="M96" i="5"/>
  <c r="M97" i="5"/>
  <c r="M98" i="5"/>
  <c r="M99" i="5"/>
  <c r="M83" i="5"/>
  <c r="M84" i="5"/>
  <c r="M85" i="5"/>
  <c r="M86" i="5"/>
  <c r="M87" i="5"/>
  <c r="M89" i="5"/>
  <c r="M90" i="5"/>
  <c r="M91" i="5"/>
  <c r="M92" i="5"/>
  <c r="M77" i="5"/>
  <c r="M78" i="5"/>
  <c r="M79" i="5"/>
  <c r="M80" i="5"/>
  <c r="M81" i="5"/>
  <c r="M82" i="5"/>
  <c r="K107" i="5" l="1"/>
  <c r="K104" i="5"/>
  <c r="K101" i="5"/>
  <c r="K96" i="5"/>
  <c r="K93" i="5"/>
  <c r="K90" i="5"/>
  <c r="K85" i="5"/>
  <c r="K83" i="5"/>
  <c r="K81" i="5"/>
  <c r="K77" i="5"/>
  <c r="K79" i="5"/>
  <c r="K74" i="5"/>
  <c r="K70" i="5"/>
  <c r="K66" i="5"/>
  <c r="K61" i="5"/>
  <c r="K57" i="5"/>
  <c r="K53" i="5"/>
  <c r="K50" i="5"/>
  <c r="K45" i="5"/>
  <c r="K41" i="5"/>
  <c r="K38" i="5"/>
  <c r="K34" i="5"/>
  <c r="K30" i="5"/>
  <c r="K28" i="5"/>
  <c r="K26" i="5"/>
  <c r="M105" i="5" l="1"/>
  <c r="M106" i="5"/>
  <c r="M107" i="5"/>
  <c r="M108" i="5"/>
  <c r="F106" i="5"/>
  <c r="F105" i="5"/>
  <c r="F103" i="5"/>
  <c r="F102" i="5"/>
  <c r="F100" i="5"/>
  <c r="F97" i="5"/>
  <c r="F95" i="5"/>
  <c r="F94" i="5"/>
  <c r="F92" i="5"/>
  <c r="F91" i="5"/>
  <c r="F89" i="5"/>
  <c r="F86" i="5"/>
  <c r="D64" i="1" l="1"/>
  <c r="D65" i="1" l="1"/>
  <c r="H65" i="1"/>
  <c r="F65" i="1"/>
  <c r="E65" i="1"/>
  <c r="C65" i="1"/>
  <c r="I65" i="1" s="1"/>
  <c r="F64" i="1" l="1"/>
  <c r="B64" i="1" l="1"/>
  <c r="H107" i="5" l="1"/>
  <c r="D107" i="5"/>
  <c r="E105" i="5" l="1"/>
  <c r="E102" i="5" l="1"/>
  <c r="E97" i="5"/>
  <c r="E94" i="5"/>
  <c r="E91" i="5"/>
  <c r="C63" i="1" l="1"/>
  <c r="I63" i="1" s="1"/>
  <c r="I64" i="1"/>
  <c r="D62" i="1" l="1"/>
  <c r="F62" i="1"/>
  <c r="H62" i="1"/>
  <c r="E62" i="1"/>
  <c r="C62" i="1"/>
  <c r="F61" i="1" l="1"/>
  <c r="D61" i="1"/>
  <c r="H61" i="1"/>
  <c r="E61" i="1"/>
  <c r="B61" i="1"/>
  <c r="I61" i="1" l="1"/>
  <c r="I62" i="1"/>
  <c r="D60" i="1" l="1"/>
  <c r="G60" i="1"/>
  <c r="H60" i="1"/>
  <c r="F60" i="1"/>
  <c r="E60" i="1"/>
  <c r="C60" i="1" l="1"/>
  <c r="B59" i="1" l="1"/>
  <c r="F59" i="1"/>
  <c r="D59" i="1"/>
  <c r="H59" i="1" l="1"/>
  <c r="E59" i="1"/>
  <c r="C58" i="1" l="1"/>
  <c r="L99" i="5" l="1"/>
  <c r="I58" i="1"/>
  <c r="I59" i="1"/>
  <c r="I60" i="1"/>
  <c r="J22" i="4" l="1"/>
  <c r="J24" i="4"/>
  <c r="J14" i="4"/>
  <c r="J18" i="4"/>
  <c r="J17" i="4"/>
  <c r="J16" i="4"/>
  <c r="J26" i="4"/>
  <c r="J12" i="4"/>
  <c r="J23" i="4"/>
  <c r="J15" i="4"/>
  <c r="J27" i="4"/>
  <c r="J20" i="4"/>
  <c r="J19" i="4"/>
  <c r="J25" i="4"/>
  <c r="J21" i="4"/>
  <c r="J13" i="4"/>
  <c r="D57" i="1"/>
  <c r="J98" i="5"/>
  <c r="H57" i="1"/>
  <c r="F57" i="1"/>
  <c r="E57" i="1"/>
  <c r="C57" i="1"/>
  <c r="I57" i="1" l="1"/>
  <c r="F56" i="1"/>
  <c r="B56" i="1"/>
  <c r="D56" i="1"/>
  <c r="D54" i="1" l="1"/>
  <c r="H56" i="1"/>
  <c r="E56" i="1"/>
  <c r="I56" i="1" l="1"/>
  <c r="H96" i="5" l="1"/>
  <c r="D96" i="5"/>
  <c r="C55" i="1" l="1"/>
  <c r="H55" i="1"/>
  <c r="F55" i="1"/>
  <c r="E55" i="1"/>
  <c r="F54" i="1" l="1"/>
  <c r="B34" i="1"/>
  <c r="H54" i="1" l="1"/>
  <c r="H72" i="1" s="1"/>
  <c r="I55" i="1"/>
  <c r="E54" i="1" l="1"/>
  <c r="B54" i="1" l="1"/>
  <c r="I54" i="1" l="1"/>
  <c r="G53" i="1" l="1"/>
  <c r="F53" i="1"/>
  <c r="E53" i="1"/>
  <c r="C53" i="1"/>
  <c r="I53" i="1" l="1"/>
  <c r="F52" i="1" l="1"/>
  <c r="D52" i="1"/>
  <c r="E52" i="1"/>
  <c r="B52" i="1"/>
  <c r="G90" i="5" l="1"/>
  <c r="C90" i="5" l="1"/>
  <c r="B90" i="5"/>
  <c r="H58" i="5"/>
  <c r="I52" i="1" l="1"/>
  <c r="M44" i="5" l="1"/>
  <c r="M58" i="5"/>
  <c r="M65" i="5"/>
  <c r="M73" i="5"/>
  <c r="M76" i="5"/>
  <c r="J86" i="5"/>
  <c r="J80" i="5"/>
  <c r="J72" i="5"/>
  <c r="M72" i="5" s="1"/>
  <c r="J71" i="5"/>
  <c r="J70" i="5"/>
  <c r="J69" i="5"/>
  <c r="J68" i="5"/>
  <c r="M68" i="5" s="1"/>
  <c r="J67" i="5"/>
  <c r="J66" i="5"/>
  <c r="J64" i="5"/>
  <c r="J63" i="5"/>
  <c r="J61" i="5"/>
  <c r="J59" i="5"/>
  <c r="M59" i="5" s="1"/>
  <c r="J58" i="5"/>
  <c r="J57" i="5"/>
  <c r="J55" i="5"/>
  <c r="M55" i="5" s="1"/>
  <c r="J54" i="5"/>
  <c r="M54" i="5" s="1"/>
  <c r="J53" i="5"/>
  <c r="J47" i="5"/>
  <c r="H82" i="5"/>
  <c r="H80" i="5"/>
  <c r="H78" i="5"/>
  <c r="H86" i="5"/>
  <c r="H84" i="5"/>
  <c r="H75" i="5"/>
  <c r="H73" i="5"/>
  <c r="H71" i="5"/>
  <c r="H69" i="5"/>
  <c r="H67" i="5"/>
  <c r="H65" i="5"/>
  <c r="H63" i="5"/>
  <c r="H60" i="5"/>
  <c r="M60" i="5" s="1"/>
  <c r="H56" i="5"/>
  <c r="M56" i="5" s="1"/>
  <c r="H54" i="5"/>
  <c r="H52" i="5"/>
  <c r="M52" i="5" s="1"/>
  <c r="H51" i="5"/>
  <c r="M51" i="5" s="1"/>
  <c r="H49" i="5"/>
  <c r="M49" i="5" s="1"/>
  <c r="H46" i="5"/>
  <c r="H44" i="5"/>
  <c r="D86" i="5"/>
  <c r="D84" i="5"/>
  <c r="D82" i="5"/>
  <c r="D80" i="5"/>
  <c r="D78" i="5"/>
  <c r="D75" i="5"/>
  <c r="M75" i="5" s="1"/>
  <c r="D73" i="5"/>
  <c r="D71" i="5"/>
  <c r="M71" i="5" s="1"/>
  <c r="D69" i="5"/>
  <c r="M69" i="5" s="1"/>
  <c r="D67" i="5"/>
  <c r="M67" i="5" s="1"/>
  <c r="D65" i="5"/>
  <c r="D63" i="5"/>
  <c r="M47" i="5" l="1"/>
  <c r="M63" i="5"/>
  <c r="F50" i="1"/>
  <c r="E50" i="1"/>
  <c r="L87" i="5" l="1"/>
  <c r="C50" i="1"/>
  <c r="I50" i="1" s="1"/>
  <c r="B49" i="1" l="1"/>
  <c r="F49" i="1" l="1"/>
  <c r="D49" i="1"/>
  <c r="E49" i="1"/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11" i="2"/>
  <c r="G27" i="2" s="1"/>
  <c r="I85" i="5" l="1"/>
  <c r="C48" i="1"/>
  <c r="F48" i="1" l="1"/>
  <c r="E48" i="1"/>
  <c r="F47" i="1" l="1"/>
  <c r="E47" i="1"/>
  <c r="C47" i="1"/>
  <c r="E46" i="1" l="1"/>
  <c r="B46" i="1" l="1"/>
  <c r="D46" i="1"/>
  <c r="F46" i="1"/>
  <c r="F45" i="1" l="1"/>
  <c r="E45" i="1" l="1"/>
  <c r="I45" i="1"/>
  <c r="F44" i="1" l="1"/>
  <c r="E44" i="1"/>
  <c r="G44" i="1" l="1"/>
  <c r="C44" i="1"/>
  <c r="I44" i="1" l="1"/>
  <c r="J11" i="4"/>
  <c r="F43" i="1" l="1"/>
  <c r="E43" i="1"/>
  <c r="B43" i="1"/>
  <c r="D43" i="1" l="1"/>
  <c r="B81" i="5" l="1"/>
  <c r="G81" i="5" l="1"/>
  <c r="C81" i="5"/>
  <c r="F42" i="1"/>
  <c r="E42" i="1"/>
  <c r="I42" i="1" l="1"/>
  <c r="I43" i="1"/>
  <c r="I46" i="1"/>
  <c r="I47" i="1"/>
  <c r="I48" i="1"/>
  <c r="I49" i="1"/>
  <c r="F41" i="1" l="1"/>
  <c r="E41" i="1"/>
  <c r="C41" i="1" l="1"/>
  <c r="D40" i="1" l="1"/>
  <c r="F40" i="1" l="1"/>
  <c r="E40" i="1" l="1"/>
  <c r="B40" i="1"/>
  <c r="I40" i="1" l="1"/>
  <c r="F39" i="1"/>
  <c r="E39" i="1"/>
  <c r="C39" i="1"/>
  <c r="I41" i="1" l="1"/>
  <c r="I39" i="1"/>
  <c r="I79" i="5"/>
  <c r="E38" i="1" l="1"/>
  <c r="F38" i="1"/>
  <c r="C38" i="1"/>
  <c r="I38" i="1" l="1"/>
  <c r="C27" i="1"/>
  <c r="F37" i="1" l="1"/>
  <c r="D37" i="1" l="1"/>
  <c r="E37" i="1"/>
  <c r="B37" i="1"/>
  <c r="I37" i="1" l="1"/>
  <c r="F36" i="1"/>
  <c r="E36" i="1"/>
  <c r="I36" i="1" l="1"/>
  <c r="G35" i="1"/>
  <c r="G51" i="1" s="1"/>
  <c r="G72" i="1" s="1"/>
  <c r="F35" i="1" l="1"/>
  <c r="E35" i="1"/>
  <c r="C35" i="1"/>
  <c r="I35" i="1" l="1"/>
  <c r="D34" i="1"/>
  <c r="F34" i="1"/>
  <c r="E34" i="1"/>
  <c r="I34" i="1" l="1"/>
  <c r="F33" i="1"/>
  <c r="F51" i="1" s="1"/>
  <c r="F72" i="1" s="1"/>
  <c r="E33" i="1"/>
  <c r="G74" i="5"/>
  <c r="B74" i="5"/>
  <c r="M74" i="5" s="1"/>
  <c r="I33" i="1" l="1"/>
  <c r="C32" i="1" l="1"/>
  <c r="E32" i="1"/>
  <c r="I32" i="1" l="1"/>
  <c r="C31" i="1"/>
  <c r="B31" i="1"/>
  <c r="E31" i="1"/>
  <c r="D31" i="1"/>
  <c r="I70" i="5" l="1"/>
  <c r="E30" i="1" l="1"/>
  <c r="I30" i="1"/>
  <c r="G70" i="5"/>
  <c r="B70" i="5"/>
  <c r="M70" i="5" s="1"/>
  <c r="E29" i="1" l="1"/>
  <c r="C29" i="1"/>
  <c r="I29" i="1" l="1"/>
  <c r="B28" i="1"/>
  <c r="D28" i="1"/>
  <c r="E28" i="1"/>
  <c r="I31" i="1" l="1"/>
  <c r="E27" i="1" l="1"/>
  <c r="E51" i="1" s="1"/>
  <c r="E72" i="1" s="1"/>
  <c r="I27" i="1"/>
  <c r="G66" i="5"/>
  <c r="M66" i="5" s="1"/>
  <c r="D23" i="1" l="1"/>
  <c r="C23" i="1"/>
  <c r="L64" i="5" l="1"/>
  <c r="M64" i="5" s="1"/>
  <c r="C26" i="1"/>
  <c r="I26" i="1" l="1"/>
  <c r="I28" i="1"/>
  <c r="I14" i="1"/>
  <c r="C28" i="4" l="1"/>
  <c r="D28" i="4" l="1"/>
  <c r="E28" i="4"/>
  <c r="F28" i="4"/>
  <c r="B28" i="4"/>
  <c r="G28" i="4"/>
  <c r="D25" i="1"/>
  <c r="B25" i="1"/>
  <c r="I25" i="1" s="1"/>
  <c r="M62" i="5" l="1"/>
  <c r="B61" i="5"/>
  <c r="M61" i="5" s="1"/>
  <c r="G61" i="5"/>
  <c r="G31" i="5" l="1"/>
  <c r="G32" i="5"/>
  <c r="C32" i="5"/>
  <c r="B32" i="5"/>
  <c r="C31" i="5"/>
  <c r="B31" i="5"/>
  <c r="C24" i="1" l="1"/>
  <c r="C51" i="1" s="1"/>
  <c r="C72" i="1" s="1"/>
  <c r="I24" i="1"/>
  <c r="I28" i="4" l="1"/>
  <c r="B23" i="1" l="1"/>
  <c r="I23" i="1" s="1"/>
  <c r="B57" i="5" l="1"/>
  <c r="G57" i="5" l="1"/>
  <c r="I57" i="5" l="1"/>
  <c r="M57" i="5" s="1"/>
  <c r="D21" i="1" l="1"/>
  <c r="D51" i="1" s="1"/>
  <c r="D72" i="1" s="1"/>
  <c r="B21" i="1"/>
  <c r="I21" i="1" l="1"/>
  <c r="I51" i="1" s="1"/>
  <c r="I53" i="5" l="1"/>
  <c r="C53" i="5"/>
  <c r="G53" i="5"/>
  <c r="B53" i="5"/>
  <c r="M53" i="5" l="1"/>
  <c r="B51" i="1" l="1"/>
  <c r="I50" i="5"/>
  <c r="B50" i="5"/>
  <c r="C50" i="5"/>
  <c r="G50" i="5"/>
  <c r="M50" i="5" l="1"/>
  <c r="M88" i="5" s="1"/>
  <c r="J28" i="4" l="1"/>
  <c r="H28" i="4"/>
  <c r="C46" i="5" l="1"/>
  <c r="B46" i="5"/>
  <c r="M46" i="5" s="1"/>
  <c r="G46" i="5"/>
  <c r="B18" i="1"/>
  <c r="I18" i="1" s="1"/>
  <c r="I45" i="5"/>
  <c r="M45" i="5" s="1"/>
  <c r="M31" i="5" l="1"/>
  <c r="M32" i="5"/>
  <c r="M42" i="5"/>
  <c r="B13" i="5" l="1"/>
  <c r="C13" i="5"/>
  <c r="G13" i="5"/>
  <c r="M13" i="5" l="1"/>
  <c r="C22" i="5"/>
  <c r="G43" i="5" l="1"/>
  <c r="C43" i="5"/>
  <c r="B43" i="5"/>
  <c r="I41" i="5"/>
  <c r="M41" i="5" s="1"/>
  <c r="G40" i="5"/>
  <c r="C40" i="5"/>
  <c r="B40" i="5"/>
  <c r="G39" i="5"/>
  <c r="C39" i="5"/>
  <c r="B39" i="5"/>
  <c r="I38" i="5"/>
  <c r="G38" i="5"/>
  <c r="C38" i="5"/>
  <c r="B38" i="5"/>
  <c r="G37" i="5"/>
  <c r="C37" i="5"/>
  <c r="B37" i="5"/>
  <c r="G36" i="5"/>
  <c r="C36" i="5"/>
  <c r="B36" i="5"/>
  <c r="G35" i="5"/>
  <c r="C35" i="5"/>
  <c r="B35" i="5"/>
  <c r="I34" i="5"/>
  <c r="G34" i="5"/>
  <c r="C34" i="5"/>
  <c r="B34" i="5"/>
  <c r="G33" i="5"/>
  <c r="C33" i="5"/>
  <c r="B33" i="5"/>
  <c r="I30" i="5"/>
  <c r="G30" i="5"/>
  <c r="C30" i="5"/>
  <c r="B30" i="5"/>
  <c r="G29" i="5"/>
  <c r="C29" i="5"/>
  <c r="B29" i="5"/>
  <c r="I28" i="5"/>
  <c r="G28" i="5"/>
  <c r="C28" i="5"/>
  <c r="B28" i="5"/>
  <c r="I27" i="5"/>
  <c r="G27" i="5"/>
  <c r="C27" i="5"/>
  <c r="B27" i="5"/>
  <c r="I26" i="5"/>
  <c r="G26" i="5"/>
  <c r="C26" i="5"/>
  <c r="B26" i="5"/>
  <c r="I25" i="5"/>
  <c r="G25" i="5"/>
  <c r="C25" i="5"/>
  <c r="B25" i="5"/>
  <c r="I24" i="5"/>
  <c r="G24" i="5"/>
  <c r="C24" i="5"/>
  <c r="B24" i="5"/>
  <c r="I23" i="5"/>
  <c r="G23" i="5"/>
  <c r="C23" i="5"/>
  <c r="B23" i="5"/>
  <c r="I22" i="5"/>
  <c r="G22" i="5"/>
  <c r="B22" i="5"/>
  <c r="I21" i="5"/>
  <c r="G21" i="5"/>
  <c r="C21" i="5"/>
  <c r="B21" i="5"/>
  <c r="I20" i="5"/>
  <c r="G19" i="5"/>
  <c r="C19" i="5"/>
  <c r="B19" i="5"/>
  <c r="G18" i="5"/>
  <c r="C18" i="5"/>
  <c r="B18" i="5"/>
  <c r="G17" i="5"/>
  <c r="C17" i="5"/>
  <c r="B17" i="5"/>
  <c r="G16" i="5"/>
  <c r="C16" i="5"/>
  <c r="B16" i="5"/>
  <c r="G15" i="5"/>
  <c r="C15" i="5"/>
  <c r="B15" i="5"/>
  <c r="G14" i="5"/>
  <c r="C14" i="5"/>
  <c r="B14" i="5"/>
  <c r="M43" i="5" l="1"/>
  <c r="M21" i="5"/>
  <c r="M30" i="5"/>
  <c r="M33" i="5"/>
  <c r="M38" i="5"/>
  <c r="M39" i="5"/>
  <c r="M17" i="5"/>
  <c r="M16" i="5"/>
  <c r="M29" i="5"/>
  <c r="M37" i="5"/>
  <c r="M20" i="5"/>
  <c r="M22" i="5"/>
  <c r="M36" i="5"/>
  <c r="M23" i="5"/>
  <c r="M24" i="5"/>
  <c r="M25" i="5"/>
  <c r="M26" i="5"/>
  <c r="M27" i="5"/>
  <c r="M28" i="5"/>
  <c r="M15" i="5"/>
  <c r="M19" i="5"/>
  <c r="M14" i="5"/>
  <c r="M18" i="5"/>
  <c r="M34" i="5"/>
  <c r="M35" i="5"/>
  <c r="M40" i="5"/>
  <c r="B17" i="1"/>
  <c r="I17" i="1" s="1"/>
  <c r="M48" i="5" l="1"/>
  <c r="M116" i="5" s="1"/>
  <c r="B16" i="1"/>
  <c r="I16" i="1" s="1"/>
  <c r="B15" i="1" l="1"/>
  <c r="I15" i="1" s="1"/>
  <c r="B13" i="1" l="1"/>
  <c r="B19" i="1" s="1"/>
  <c r="B72" i="1" s="1"/>
  <c r="I13" i="1" l="1"/>
  <c r="I19" i="1" l="1"/>
  <c r="I72" i="1" s="1"/>
</calcChain>
</file>

<file path=xl/sharedStrings.xml><?xml version="1.0" encoding="utf-8"?>
<sst xmlns="http://schemas.openxmlformats.org/spreadsheetml/2006/main" count="682" uniqueCount="78">
  <si>
    <t>Gesamt</t>
  </si>
  <si>
    <t>Soziale Dienstleister</t>
  </si>
  <si>
    <t xml:space="preserve">Auszahlungs-
termin </t>
  </si>
  <si>
    <t>x</t>
  </si>
  <si>
    <t>Bundesland</t>
  </si>
  <si>
    <t>Brandenburg</t>
  </si>
  <si>
    <t>Berlin</t>
  </si>
  <si>
    <t>Baden-Württemberg</t>
  </si>
  <si>
    <t>Bayern</t>
  </si>
  <si>
    <t>Bremen</t>
  </si>
  <si>
    <t>Hessen</t>
  </si>
  <si>
    <t>Hamburg</t>
  </si>
  <si>
    <t>Mecklenburg-Vorpommern</t>
  </si>
  <si>
    <t>Niedersachsen</t>
  </si>
  <si>
    <t>Rheinland-Pfalz</t>
  </si>
  <si>
    <t>Sachsen-Anhalt</t>
  </si>
  <si>
    <t>Schleswig-Holstein</t>
  </si>
  <si>
    <t>Saarland</t>
  </si>
  <si>
    <t>Sachsen</t>
  </si>
  <si>
    <t>Thüringen</t>
  </si>
  <si>
    <t>Kassenärztliche Vereinigung</t>
  </si>
  <si>
    <t>Nordrhein</t>
  </si>
  <si>
    <t xml:space="preserve">Saarland </t>
  </si>
  <si>
    <t>Westfalen-Lippe</t>
  </si>
  <si>
    <t>Nordrhein-Westfalen</t>
  </si>
  <si>
    <t>Zahlungen des BAS aufgrund der COVID-19-Pandemie je Auszahlungstermin (in Mio. Euro)</t>
  </si>
  <si>
    <t>Laufende Verfahren</t>
  </si>
  <si>
    <t>ÖGD-Testzentren</t>
  </si>
  <si>
    <t>Krankenhäuser</t>
  </si>
  <si>
    <t xml:space="preserve">Vorsorge- und Rehaeinrichtungen, Müttergenesungswerk o. ä. </t>
  </si>
  <si>
    <t>Heilmittelerbringer</t>
  </si>
  <si>
    <r>
      <rPr>
        <b/>
        <i/>
        <u/>
        <sz val="12"/>
        <color theme="1"/>
        <rFont val="Calibri"/>
        <family val="2"/>
        <scheme val="minor"/>
      </rPr>
      <t>Beendete Verfahren</t>
    </r>
    <r>
      <rPr>
        <b/>
        <i/>
        <sz val="12"/>
        <color theme="1"/>
        <rFont val="Calibri"/>
        <family val="2"/>
        <scheme val="minor"/>
      </rPr>
      <t xml:space="preserve"> (die Anspruchszeiträume liegen in der Vergangenheit)</t>
    </r>
  </si>
  <si>
    <t xml:space="preserve">Zahlungen für Krankenhäuser unterteilt nach Bundesländern (in Mio. Euro) 
</t>
  </si>
  <si>
    <t>Testzentren Dritter</t>
  </si>
  <si>
    <t>KV-Testzentren</t>
  </si>
  <si>
    <t>Sonstiges</t>
  </si>
  <si>
    <t>Zahlungen nach der TestV</t>
  </si>
  <si>
    <t>Zahlungen nach der SchutzmV</t>
  </si>
  <si>
    <t>zusätzliche Intensivbetten im Zeitraum vom 16.3. - 30.9.2020</t>
  </si>
  <si>
    <t>Einnahmeausfälle im Zeitraum vom 16.3. - 30.9.2020</t>
  </si>
  <si>
    <t xml:space="preserve">Einnahmeausfälle im Zeitraum vom 1.4. - 30.6.2020 </t>
  </si>
  <si>
    <r>
      <t xml:space="preserve">zusätzliche Intensivbetten 
</t>
    </r>
    <r>
      <rPr>
        <sz val="11"/>
        <color theme="1"/>
        <rFont val="Calibri"/>
        <family val="2"/>
        <scheme val="minor"/>
      </rPr>
      <t xml:space="preserve"> im Zeitraum vom 16.3. - 30.9.2020</t>
    </r>
  </si>
  <si>
    <t>Weitere Leistungen (ohne Eingliederungshilfe)</t>
  </si>
  <si>
    <t>Weitere Leistungen (Eingliederungshilfe)</t>
  </si>
  <si>
    <t>Monoklonale Antikörper</t>
  </si>
  <si>
    <t>Zahlungen nach der MAKV</t>
  </si>
  <si>
    <r>
      <t>Corona-Tests*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</si>
  <si>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Teilfinanzierung Impfzentren 
(inkl. Kosten Terminvergabe-Modul)</t>
  </si>
  <si>
    <t>Großhandel-/
Apotheken-vergütung</t>
  </si>
  <si>
    <t>Sachkosten PoC-Antigen-Tests &amp; Antigen-Tests zur Eigenanwendung</t>
  </si>
  <si>
    <t>Zahlungen nach der SARS-CoV-2-Arzneimittelver-sorgungsverordnung</t>
  </si>
  <si>
    <t>* Die aus dem Gesundheitsfonds ausgezahlten Finanzhilfen werden vom Bund erstattet. Ausnahme: Teilfinanzierung Impfzentren für in 2020 entstandene Kosten und in 2020 geleistete Zahlungen für Corona-Tests.</t>
  </si>
  <si>
    <t>Schutzimpfung*</t>
  </si>
  <si>
    <t>Corona-Arzneimittel*</t>
  </si>
  <si>
    <t>Schutzmasken*</t>
  </si>
  <si>
    <r>
      <t>Sonstiges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</si>
  <si>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* Die aus dem Gesundheitsfonds ausgezahlten Finanzhilfen werden vom Bund erstattet.</t>
  </si>
  <si>
    <t>Einnahmeausfälle im Zeitraum vom 16.3. - 30.9.2020*</t>
  </si>
  <si>
    <t>Einnahmeausfälle im Zeitraum 18.11.2020 - 15.6.2021*</t>
  </si>
  <si>
    <r>
      <rPr>
        <b/>
        <sz val="11"/>
        <color theme="1"/>
        <rFont val="Calibri"/>
        <family val="2"/>
        <scheme val="minor"/>
      </rPr>
      <t xml:space="preserve"> Einnahmeausfälle*</t>
    </r>
    <r>
      <rPr>
        <sz val="11"/>
        <color theme="1"/>
        <rFont val="Calibri"/>
        <family val="2"/>
        <scheme val="minor"/>
      </rPr>
      <t xml:space="preserve"> 
im Zeitraum vom 16.3. - 30.9.2020</t>
    </r>
  </si>
  <si>
    <r>
      <t xml:space="preserve">Einnahmeausfälle*
</t>
    </r>
    <r>
      <rPr>
        <sz val="11"/>
        <color theme="1"/>
        <rFont val="Calibri"/>
        <family val="2"/>
        <scheme val="minor"/>
      </rPr>
      <t>im Zeitraum vom 18.11.2020 - 15.6.2021</t>
    </r>
  </si>
  <si>
    <t>* Die aus dem Gesundheitsfonds ab dem Jahr 2021 geleisteten Zahlungen werden vom Bund erstattet (teilw. rückwirkend). Hierin sind die aufgrund der Abrechnungsprüfung gem. § 7a TestV gezahlten Beträge  enthalten, die an den Bund zurückgeführt werden.</t>
  </si>
  <si>
    <t xml:space="preserve"> Vergütung Impfung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</si>
  <si>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einschließich von Rückzahlungen nach Abrechnungsprüfung gem. § 7a TestV, enthält ebenfalls die Vergütung für die Ausstellung von Genesenenzertfikaten in Arztpraxen</t>
    </r>
  </si>
  <si>
    <t>Vergütung der (Labor)Diagnostik mittels Nukleinsäurenach-weis/Antigen-Test</t>
  </si>
  <si>
    <t>Einnahmeausfälle im Zeitraum 16.3.2020 bis zum 30.6.2022</t>
  </si>
  <si>
    <r>
      <t xml:space="preserve">Versorgungsaufschlag*
</t>
    </r>
    <r>
      <rPr>
        <sz val="11"/>
        <rFont val="Calibri"/>
        <family val="2"/>
        <scheme val="minor"/>
      </rPr>
      <t>im Zeitraum vom 1.11.2021 - 30.6.2022</t>
    </r>
  </si>
  <si>
    <r>
      <t xml:space="preserve">Einnahmeausfälle*
</t>
    </r>
    <r>
      <rPr>
        <sz val="11"/>
        <rFont val="Calibri"/>
        <family val="2"/>
        <scheme val="minor"/>
      </rPr>
      <t>im Zeitraum vom 15.11.2021 - 18.4.2022</t>
    </r>
  </si>
  <si>
    <t>Zahlungen für Corona-Tests unterteilt nach KV-Bezirken (in Mio. Euro)*</t>
  </si>
  <si>
    <t>Einnahmeausfälle im Zeitraum 15.11.2021 - 18.4.2022*</t>
  </si>
  <si>
    <t>Versorgungsaufschlag im Zeitraum 1.11.2021 - 30.6.2022*</t>
  </si>
  <si>
    <t>Summe 2020</t>
  </si>
  <si>
    <t>Summe 2021</t>
  </si>
  <si>
    <t>Summe 2022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</si>
  <si>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12.11.2020: Sonderleistung an Pflegekräfte nach § 26a KHG
   14.04.2021: Sonderleistung an Pflegekräfte nach § 26d KHG. Die geleistete Zahlung wurde vom Bund erstattet.
   27.04.2021: Kostentragung Remdesivir nach § 26b KHG
   27.07.2021: Kostentragung für vom Bund beschaffte Schutzausrüstung und Desinfektionsmittel nach § 271 Abs. 2 SGB V
   22.12.2021: Spitzabrechnung Remdesivir nach § 26b Abs. 4 KHG
   29.03.2022: Spitzabrechnung Sonderleistung an Pflegekräfte nach § 26a KHG
   28.06.2022: Spitzabrechnung Sonderleistung an Pflegekräfte nach § 26d KHG. Die erhaltene Rückzahlung wurde an den Bund weitergeleitet.</t>
    </r>
  </si>
  <si>
    <r>
      <t>Impf-/ Genesenenzertifikat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/ nachtr. Impfdoku ((Zahn-)Ärzte/ Apotheken/ Krankenhäuser/ÖGD)</t>
    </r>
  </si>
  <si>
    <t>Stand: 15. August 2022</t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</si>
  <si>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einschließlich der Vergütung der in Apotheken ausgestellten Genesenenzertifikate.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</si>
</sst>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000"/>
    <numFmt numFmtId="165" formatCode="_-* #,##0\ _€_-;\-* #,##0\ _€_-;_-* &quot;-&quot;??\ _€_-;_-@_-"/>
    <numFmt numFmtId="166" formatCode="0.0000000000000000000000000000"/>
    <numFmt numFmtId="167" formatCode="_-* #,##0.000000000\ &quot;€&quot;_-;\-* #,##0.000000000\ &quot;€&quot;_-;_-* &quot;-&quot;??\ &quot;€&quot;_-;_-@_-"/>
    <numFmt numFmtId="168" formatCode="_-* #,##0.000\ _€_-;\-* #,##0.000\ _€_-;_-* &quot;-&quot;??\ _€_-;_-@_-"/>
    <numFmt numFmtId="169" formatCode="_-* #,##0.00000000\ _€_-;\-* #,##0.00000000\ _€_-;_-* &quot;-&quot;??\ _€_-;_-@_-"/>
    <numFmt numFmtId="170" formatCode="_-* #,##0.000000000\ _€_-;\-* #,##0.000000000\ _€_-;_-* &quot;-&quot;?????????\ _€_-;_-@_-"/>
    <numFmt numFmtId="171" formatCode="0.0000000000"/>
    <numFmt numFmtId="172" formatCode="_-* #,##0.000000000\ _€_-;\-* #,##0.000000000\ _€_-;_-* &quot;-&quot;??\ _€_-;_-@_-"/>
    <numFmt numFmtId="173" formatCode="_-* #,##0.000000000\ _€_-;\-* #,##0.000000000\ _€_-;_-* &quot;-&quot;?????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8">
    <xf numFmtId="0" fontId="0" fillId="0" borderId="0" xfId="0"/>
    <xf numFmtId="0" fontId="4" fillId="0" borderId="0" xfId="0" applyFont="1"/>
    <xf numFmtId="14" fontId="0" fillId="0" borderId="5" xfId="0" applyNumberFormat="1" applyFont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43" fontId="0" fillId="0" borderId="9" xfId="0" applyNumberFormat="1" applyBorder="1"/>
    <xf numFmtId="14" fontId="0" fillId="0" borderId="10" xfId="0" applyNumberFormat="1" applyFont="1" applyBorder="1" applyAlignment="1">
      <alignment horizontal="center"/>
    </xf>
    <xf numFmtId="43" fontId="0" fillId="0" borderId="2" xfId="1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wrapText="1"/>
    </xf>
    <xf numFmtId="43" fontId="0" fillId="0" borderId="14" xfId="0" applyNumberFormat="1" applyBorder="1"/>
    <xf numFmtId="43" fontId="0" fillId="0" borderId="6" xfId="1" applyFont="1" applyBorder="1" applyAlignment="1">
      <alignment horizontal="center"/>
    </xf>
    <xf numFmtId="43" fontId="0" fillId="0" borderId="0" xfId="0" applyNumberFormat="1"/>
    <xf numFmtId="43" fontId="0" fillId="0" borderId="4" xfId="1" applyFont="1" applyBorder="1" applyAlignment="1">
      <alignment horizontal="center"/>
    </xf>
    <xf numFmtId="43" fontId="0" fillId="0" borderId="11" xfId="1" applyFont="1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43" fontId="5" fillId="0" borderId="6" xfId="1" applyFont="1" applyBorder="1" applyAlignment="1">
      <alignment horizontal="center"/>
    </xf>
    <xf numFmtId="0" fontId="0" fillId="3" borderId="15" xfId="0" applyFont="1" applyFill="1" applyBorder="1" applyAlignment="1">
      <alignment horizontal="center" wrapText="1"/>
    </xf>
    <xf numFmtId="14" fontId="0" fillId="0" borderId="10" xfId="0" applyNumberFormat="1" applyFont="1" applyBorder="1" applyAlignment="1">
      <alignment horizontal="left"/>
    </xf>
    <xf numFmtId="14" fontId="0" fillId="0" borderId="5" xfId="0" applyNumberFormat="1" applyFont="1" applyBorder="1" applyAlignment="1">
      <alignment horizontal="left"/>
    </xf>
    <xf numFmtId="0" fontId="6" fillId="2" borderId="16" xfId="2" applyFont="1" applyFill="1" applyBorder="1" applyAlignment="1">
      <alignment horizontal="center" wrapText="1"/>
    </xf>
    <xf numFmtId="43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7" fillId="0" borderId="0" xfId="0" applyFont="1"/>
    <xf numFmtId="14" fontId="0" fillId="0" borderId="0" xfId="0" applyNumberFormat="1" applyFont="1" applyFill="1" applyBorder="1" applyAlignment="1">
      <alignment horizontal="left"/>
    </xf>
    <xf numFmtId="15" fontId="0" fillId="0" borderId="0" xfId="0" applyNumberFormat="1"/>
    <xf numFmtId="43" fontId="0" fillId="0" borderId="18" xfId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Alignment="1"/>
    <xf numFmtId="0" fontId="0" fillId="0" borderId="0" xfId="0" applyAlignment="1">
      <alignment horizontal="left" vertical="top" wrapText="1"/>
    </xf>
    <xf numFmtId="43" fontId="0" fillId="0" borderId="19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3" fillId="4" borderId="16" xfId="0" applyFont="1" applyFill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0" fontId="3" fillId="3" borderId="24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wrapText="1"/>
    </xf>
    <xf numFmtId="0" fontId="11" fillId="0" borderId="0" xfId="0" applyFont="1"/>
    <xf numFmtId="0" fontId="3" fillId="3" borderId="24" xfId="0" applyFont="1" applyFill="1" applyBorder="1" applyAlignment="1">
      <alignment horizontal="center" wrapText="1"/>
    </xf>
    <xf numFmtId="43" fontId="0" fillId="0" borderId="3" xfId="1" applyFon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/>
    </xf>
    <xf numFmtId="43" fontId="0" fillId="0" borderId="4" xfId="1" applyFont="1" applyBorder="1" applyAlignment="1">
      <alignment horizontal="left" indent="7"/>
    </xf>
    <xf numFmtId="43" fontId="0" fillId="0" borderId="27" xfId="1" applyFont="1" applyBorder="1" applyAlignment="1">
      <alignment horizontal="center" vertical="center"/>
    </xf>
    <xf numFmtId="43" fontId="5" fillId="0" borderId="27" xfId="1" applyFont="1" applyBorder="1" applyAlignment="1">
      <alignment horizontal="center"/>
    </xf>
    <xf numFmtId="43" fontId="0" fillId="0" borderId="27" xfId="1" applyFont="1" applyBorder="1" applyAlignment="1">
      <alignment horizontal="center"/>
    </xf>
    <xf numFmtId="43" fontId="0" fillId="0" borderId="28" xfId="1" applyFont="1" applyBorder="1" applyAlignment="1">
      <alignment horizontal="center"/>
    </xf>
    <xf numFmtId="43" fontId="0" fillId="0" borderId="27" xfId="1" applyFont="1" applyBorder="1" applyAlignment="1">
      <alignment horizontal="left" indent="8"/>
    </xf>
    <xf numFmtId="0" fontId="0" fillId="3" borderId="31" xfId="0" applyFont="1" applyFill="1" applyBorder="1" applyAlignment="1">
      <alignment horizontal="center" wrapText="1"/>
    </xf>
    <xf numFmtId="43" fontId="0" fillId="0" borderId="10" xfId="0" applyNumberFormat="1" applyBorder="1" applyAlignment="1">
      <alignment horizontal="center"/>
    </xf>
    <xf numFmtId="0" fontId="3" fillId="3" borderId="13" xfId="0" applyFont="1" applyFill="1" applyBorder="1" applyAlignment="1">
      <alignment horizontal="center" wrapText="1"/>
    </xf>
    <xf numFmtId="0" fontId="5" fillId="3" borderId="25" xfId="0" applyFont="1" applyFill="1" applyBorder="1" applyAlignment="1">
      <alignment horizontal="center" wrapText="1"/>
    </xf>
    <xf numFmtId="43" fontId="0" fillId="0" borderId="29" xfId="1" applyFont="1" applyBorder="1" applyAlignment="1">
      <alignment horizontal="center"/>
    </xf>
    <xf numFmtId="0" fontId="6" fillId="2" borderId="23" xfId="2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43" fontId="0" fillId="0" borderId="10" xfId="1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wrapText="1"/>
    </xf>
    <xf numFmtId="43" fontId="0" fillId="4" borderId="29" xfId="1" applyFont="1" applyFill="1" applyBorder="1" applyAlignment="1">
      <alignment horizontal="center"/>
    </xf>
    <xf numFmtId="43" fontId="0" fillId="0" borderId="29" xfId="1" applyFont="1" applyFill="1" applyBorder="1" applyAlignment="1">
      <alignment horizontal="center"/>
    </xf>
    <xf numFmtId="43" fontId="0" fillId="0" borderId="27" xfId="1" applyFont="1" applyFill="1" applyBorder="1" applyAlignment="1">
      <alignment horizontal="center"/>
    </xf>
    <xf numFmtId="43" fontId="0" fillId="0" borderId="0" xfId="1" applyFont="1"/>
    <xf numFmtId="43" fontId="0" fillId="0" borderId="2" xfId="0" applyNumberFormat="1" applyBorder="1"/>
    <xf numFmtId="43" fontId="0" fillId="0" borderId="3" xfId="0" applyNumberFormat="1" applyBorder="1"/>
    <xf numFmtId="14" fontId="0" fillId="0" borderId="35" xfId="0" applyNumberFormat="1" applyFont="1" applyBorder="1" applyAlignment="1">
      <alignment horizontal="center"/>
    </xf>
    <xf numFmtId="164" fontId="0" fillId="0" borderId="0" xfId="0" applyNumberFormat="1"/>
    <xf numFmtId="43" fontId="0" fillId="0" borderId="0" xfId="1" applyFont="1" applyAlignment="1"/>
    <xf numFmtId="165" fontId="0" fillId="0" borderId="0" xfId="0" applyNumberFormat="1"/>
    <xf numFmtId="43" fontId="0" fillId="0" borderId="3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43" fontId="0" fillId="0" borderId="41" xfId="1" applyFont="1" applyBorder="1" applyAlignment="1">
      <alignment horizontal="center"/>
    </xf>
    <xf numFmtId="0" fontId="0" fillId="0" borderId="41" xfId="0" applyBorder="1" applyAlignment="1">
      <alignment horizontal="center"/>
    </xf>
    <xf numFmtId="43" fontId="0" fillId="0" borderId="42" xfId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37" xfId="1" applyFont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44" xfId="1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Alignment="1">
      <alignment horizontal="left" vertical="top" wrapText="1"/>
    </xf>
    <xf numFmtId="14" fontId="0" fillId="0" borderId="46" xfId="0" applyNumberFormat="1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3" borderId="48" xfId="0" applyFont="1" applyFill="1" applyBorder="1" applyAlignment="1">
      <alignment horizontal="center" wrapText="1"/>
    </xf>
    <xf numFmtId="43" fontId="0" fillId="0" borderId="27" xfId="1" applyFont="1" applyBorder="1" applyAlignment="1">
      <alignment horizontal="left" indent="7"/>
    </xf>
    <xf numFmtId="14" fontId="0" fillId="0" borderId="0" xfId="0" applyNumberFormat="1" applyFont="1" applyBorder="1" applyAlignment="1">
      <alignment horizontal="center"/>
    </xf>
    <xf numFmtId="43" fontId="0" fillId="0" borderId="30" xfId="1" applyFont="1" applyBorder="1" applyAlignment="1">
      <alignment horizontal="center"/>
    </xf>
    <xf numFmtId="43" fontId="0" fillId="0" borderId="24" xfId="1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Alignment="1">
      <alignment horizontal="left" vertical="top" wrapText="1"/>
    </xf>
    <xf numFmtId="168" fontId="0" fillId="0" borderId="27" xfId="1" applyNumberFormat="1" applyFont="1" applyBorder="1" applyAlignment="1">
      <alignment horizontal="center"/>
    </xf>
    <xf numFmtId="43" fontId="0" fillId="0" borderId="41" xfId="1" applyFont="1" applyBorder="1" applyAlignment="1">
      <alignment horizontal="left" indent="8"/>
    </xf>
    <xf numFmtId="43" fontId="0" fillId="0" borderId="4" xfId="1" applyNumberFormat="1" applyFont="1" applyBorder="1" applyAlignment="1">
      <alignment horizontal="center"/>
    </xf>
    <xf numFmtId="169" fontId="0" fillId="0" borderId="0" xfId="0" applyNumberFormat="1" applyBorder="1"/>
    <xf numFmtId="43" fontId="0" fillId="0" borderId="19" xfId="1" applyNumberFormat="1" applyFont="1" applyBorder="1" applyAlignment="1">
      <alignment horizontal="center"/>
    </xf>
    <xf numFmtId="43" fontId="0" fillId="0" borderId="5" xfId="1" applyFont="1" applyBorder="1" applyAlignment="1">
      <alignment horizontal="left" indent="7"/>
    </xf>
    <xf numFmtId="43" fontId="0" fillId="0" borderId="0" xfId="1" applyFont="1" applyBorder="1"/>
    <xf numFmtId="168" fontId="0" fillId="0" borderId="24" xfId="1" applyNumberFormat="1" applyFont="1" applyBorder="1" applyAlignment="1">
      <alignment horizontal="center"/>
    </xf>
    <xf numFmtId="0" fontId="5" fillId="3" borderId="45" xfId="0" applyFont="1" applyFill="1" applyBorder="1" applyAlignment="1">
      <alignment horizontal="center" wrapText="1"/>
    </xf>
    <xf numFmtId="43" fontId="0" fillId="0" borderId="41" xfId="1" applyFont="1" applyBorder="1" applyAlignment="1">
      <alignment horizontal="center" vertical="center"/>
    </xf>
    <xf numFmtId="43" fontId="0" fillId="0" borderId="4" xfId="1" applyFont="1" applyBorder="1" applyAlignment="1">
      <alignment horizontal="left" indent="8"/>
    </xf>
    <xf numFmtId="43" fontId="0" fillId="0" borderId="6" xfId="1" applyFont="1" applyBorder="1" applyAlignment="1">
      <alignment horizontal="left" indent="10"/>
    </xf>
    <xf numFmtId="169" fontId="0" fillId="0" borderId="0" xfId="1" applyNumberFormat="1" applyFont="1"/>
    <xf numFmtId="0" fontId="14" fillId="3" borderId="12" xfId="0" applyFont="1" applyFill="1" applyBorder="1" applyAlignment="1">
      <alignment horizontal="center" wrapText="1"/>
    </xf>
    <xf numFmtId="14" fontId="5" fillId="0" borderId="35" xfId="0" applyNumberFormat="1" applyFont="1" applyBorder="1" applyAlignment="1">
      <alignment horizontal="center"/>
    </xf>
    <xf numFmtId="0" fontId="5" fillId="0" borderId="0" xfId="0" applyFont="1"/>
    <xf numFmtId="43" fontId="0" fillId="0" borderId="44" xfId="1" applyFont="1" applyBorder="1" applyAlignment="1">
      <alignment horizontal="left" indent="7"/>
    </xf>
    <xf numFmtId="43" fontId="0" fillId="0" borderId="51" xfId="1" applyFont="1" applyBorder="1" applyAlignment="1">
      <alignment horizontal="center" vertical="center"/>
    </xf>
    <xf numFmtId="43" fontId="0" fillId="0" borderId="41" xfId="1" applyFont="1" applyFill="1" applyBorder="1" applyAlignment="1">
      <alignment horizontal="center" vertical="center"/>
    </xf>
    <xf numFmtId="43" fontId="5" fillId="0" borderId="41" xfId="1" applyFont="1" applyBorder="1" applyAlignment="1">
      <alignment horizontal="center"/>
    </xf>
    <xf numFmtId="0" fontId="0" fillId="3" borderId="45" xfId="0" applyFont="1" applyFill="1" applyBorder="1" applyAlignment="1">
      <alignment horizontal="center" wrapText="1"/>
    </xf>
    <xf numFmtId="43" fontId="0" fillId="0" borderId="44" xfId="1" applyFont="1" applyBorder="1" applyAlignment="1">
      <alignment horizontal="left" indent="8"/>
    </xf>
    <xf numFmtId="43" fontId="0" fillId="0" borderId="27" xfId="1" applyNumberFormat="1" applyFont="1" applyBorder="1" applyAlignment="1">
      <alignment horizontal="left" indent="8"/>
    </xf>
    <xf numFmtId="43" fontId="0" fillId="0" borderId="6" xfId="1" applyFont="1" applyBorder="1" applyAlignment="1">
      <alignment horizontal="left" indent="7"/>
    </xf>
    <xf numFmtId="43" fontId="0" fillId="0" borderId="6" xfId="1" applyNumberFormat="1" applyFont="1" applyBorder="1" applyAlignment="1">
      <alignment horizontal="left" indent="10"/>
    </xf>
    <xf numFmtId="43" fontId="0" fillId="0" borderId="44" xfId="1" applyNumberFormat="1" applyFont="1" applyBorder="1" applyAlignment="1">
      <alignment horizontal="center"/>
    </xf>
    <xf numFmtId="43" fontId="0" fillId="0" borderId="6" xfId="1" applyFont="1" applyBorder="1" applyAlignment="1">
      <alignment horizontal="left" indent="8"/>
    </xf>
    <xf numFmtId="43" fontId="0" fillId="0" borderId="10" xfId="1" applyFont="1" applyBorder="1" applyAlignment="1">
      <alignment horizontal="left" vertical="center" indent="7"/>
    </xf>
    <xf numFmtId="43" fontId="0" fillId="0" borderId="10" xfId="1" applyFont="1" applyBorder="1" applyAlignment="1">
      <alignment horizontal="left" vertical="center" indent="6"/>
    </xf>
    <xf numFmtId="43" fontId="0" fillId="0" borderId="10" xfId="1" applyFont="1" applyBorder="1" applyAlignment="1">
      <alignment horizontal="left" vertical="center" indent="4"/>
    </xf>
    <xf numFmtId="43" fontId="0" fillId="0" borderId="41" xfId="1" applyFont="1" applyBorder="1" applyAlignment="1">
      <alignment horizontal="left" vertical="center" indent="6"/>
    </xf>
    <xf numFmtId="43" fontId="0" fillId="4" borderId="41" xfId="1" applyFont="1" applyFill="1" applyBorder="1" applyAlignment="1">
      <alignment horizontal="center"/>
    </xf>
    <xf numFmtId="43" fontId="0" fillId="4" borderId="44" xfId="1" applyFont="1" applyFill="1" applyBorder="1" applyAlignment="1">
      <alignment horizontal="center"/>
    </xf>
    <xf numFmtId="43" fontId="0" fillId="4" borderId="50" xfId="1" applyFont="1" applyFill="1" applyBorder="1" applyAlignment="1">
      <alignment horizontal="center"/>
    </xf>
    <xf numFmtId="0" fontId="5" fillId="3" borderId="48" xfId="0" applyFont="1" applyFill="1" applyBorder="1" applyAlignment="1">
      <alignment horizontal="center" wrapText="1"/>
    </xf>
    <xf numFmtId="43" fontId="0" fillId="0" borderId="6" xfId="1" applyFont="1" applyBorder="1" applyAlignment="1">
      <alignment horizontal="left" indent="9"/>
    </xf>
    <xf numFmtId="43" fontId="0" fillId="0" borderId="27" xfId="1" applyNumberFormat="1" applyFont="1" applyBorder="1" applyAlignment="1">
      <alignment horizontal="center"/>
    </xf>
    <xf numFmtId="43" fontId="0" fillId="0" borderId="6" xfId="1" applyNumberFormat="1" applyFont="1" applyBorder="1" applyAlignment="1">
      <alignment horizontal="center"/>
    </xf>
    <xf numFmtId="43" fontId="0" fillId="0" borderId="47" xfId="1" applyNumberFormat="1" applyFont="1" applyBorder="1" applyAlignment="1">
      <alignment horizontal="center"/>
    </xf>
    <xf numFmtId="0" fontId="0" fillId="4" borderId="41" xfId="0" applyFill="1" applyBorder="1"/>
    <xf numFmtId="0" fontId="0" fillId="4" borderId="2" xfId="0" applyFill="1" applyBorder="1"/>
    <xf numFmtId="0" fontId="0" fillId="4" borderId="10" xfId="0" applyFill="1" applyBorder="1"/>
    <xf numFmtId="0" fontId="0" fillId="4" borderId="49" xfId="0" applyFill="1" applyBorder="1"/>
    <xf numFmtId="43" fontId="0" fillId="4" borderId="28" xfId="1" applyFont="1" applyFill="1" applyBorder="1" applyAlignment="1">
      <alignment horizontal="center"/>
    </xf>
    <xf numFmtId="43" fontId="0" fillId="4" borderId="27" xfId="1" applyFont="1" applyFill="1" applyBorder="1" applyAlignment="1">
      <alignment horizontal="center"/>
    </xf>
    <xf numFmtId="43" fontId="0" fillId="4" borderId="10" xfId="1" applyFont="1" applyFill="1" applyBorder="1" applyAlignment="1">
      <alignment horizontal="center"/>
    </xf>
    <xf numFmtId="43" fontId="0" fillId="4" borderId="49" xfId="1" applyFont="1" applyFill="1" applyBorder="1" applyAlignment="1">
      <alignment horizontal="center"/>
    </xf>
    <xf numFmtId="43" fontId="0" fillId="4" borderId="4" xfId="1" applyFont="1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43" fontId="0" fillId="4" borderId="49" xfId="1" applyFont="1" applyFill="1" applyBorder="1" applyAlignment="1">
      <alignment horizontal="center" vertical="center"/>
    </xf>
    <xf numFmtId="43" fontId="0" fillId="4" borderId="44" xfId="1" applyFont="1" applyFill="1" applyBorder="1" applyAlignment="1">
      <alignment horizontal="center" vertical="center"/>
    </xf>
    <xf numFmtId="43" fontId="5" fillId="4" borderId="44" xfId="1" applyFont="1" applyFill="1" applyBorder="1" applyAlignment="1">
      <alignment horizontal="center"/>
    </xf>
    <xf numFmtId="43" fontId="0" fillId="4" borderId="44" xfId="1" applyFont="1" applyFill="1" applyBorder="1" applyAlignment="1">
      <alignment horizontal="left" indent="8"/>
    </xf>
    <xf numFmtId="43" fontId="0" fillId="4" borderId="29" xfId="1" applyFont="1" applyFill="1" applyBorder="1" applyAlignment="1">
      <alignment horizontal="center" vertical="center"/>
    </xf>
    <xf numFmtId="43" fontId="0" fillId="4" borderId="27" xfId="1" applyFont="1" applyFill="1" applyBorder="1" applyAlignment="1">
      <alignment horizontal="center" vertical="center"/>
    </xf>
    <xf numFmtId="0" fontId="5" fillId="0" borderId="0" xfId="0" applyFont="1" applyAlignment="1"/>
    <xf numFmtId="0" fontId="14" fillId="3" borderId="13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169" fontId="0" fillId="0" borderId="0" xfId="1" applyNumberFormat="1" applyFont="1" applyBorder="1" applyAlignment="1">
      <alignment horizontal="left"/>
    </xf>
    <xf numFmtId="0" fontId="14" fillId="3" borderId="10" xfId="0" applyFont="1" applyFill="1" applyBorder="1" applyAlignment="1">
      <alignment horizontal="center" wrapText="1"/>
    </xf>
    <xf numFmtId="0" fontId="14" fillId="3" borderId="29" xfId="0" applyFont="1" applyFill="1" applyBorder="1" applyAlignment="1">
      <alignment horizontal="center" wrapText="1"/>
    </xf>
    <xf numFmtId="170" fontId="0" fillId="0" borderId="0" xfId="0" applyNumberFormat="1"/>
    <xf numFmtId="0" fontId="16" fillId="0" borderId="0" xfId="0" applyFont="1" applyAlignment="1">
      <alignment horizontal="left"/>
    </xf>
    <xf numFmtId="0" fontId="5" fillId="3" borderId="43" xfId="0" applyFont="1" applyFill="1" applyBorder="1" applyAlignment="1">
      <alignment horizontal="center" wrapText="1"/>
    </xf>
    <xf numFmtId="0" fontId="14" fillId="3" borderId="20" xfId="0" applyFont="1" applyFill="1" applyBorder="1" applyAlignment="1">
      <alignment horizontal="center" wrapText="1"/>
    </xf>
    <xf numFmtId="43" fontId="0" fillId="0" borderId="36" xfId="1" applyFont="1" applyBorder="1" applyAlignment="1">
      <alignment horizontal="center"/>
    </xf>
    <xf numFmtId="171" fontId="0" fillId="0" borderId="0" xfId="0" applyNumberFormat="1" applyBorder="1"/>
    <xf numFmtId="171" fontId="0" fillId="0" borderId="0" xfId="0" applyNumberFormat="1"/>
    <xf numFmtId="43" fontId="0" fillId="0" borderId="21" xfId="1" applyFont="1" applyBorder="1" applyAlignment="1">
      <alignment horizontal="center"/>
    </xf>
    <xf numFmtId="43" fontId="0" fillId="0" borderId="27" xfId="1" applyFont="1" applyBorder="1" applyAlignment="1">
      <alignment horizontal="left" indent="10"/>
    </xf>
    <xf numFmtId="43" fontId="0" fillId="0" borderId="0" xfId="1" applyFont="1" applyFill="1" applyBorder="1"/>
    <xf numFmtId="172" fontId="0" fillId="0" borderId="0" xfId="0" applyNumberFormat="1"/>
    <xf numFmtId="43" fontId="0" fillId="0" borderId="34" xfId="1" applyFont="1" applyBorder="1" applyAlignment="1">
      <alignment horizontal="center"/>
    </xf>
    <xf numFmtId="43" fontId="0" fillId="0" borderId="4" xfId="1" applyFont="1" applyFill="1" applyBorder="1" applyAlignment="1">
      <alignment horizontal="center"/>
    </xf>
    <xf numFmtId="43" fontId="0" fillId="4" borderId="3" xfId="1" applyFont="1" applyFill="1" applyBorder="1" applyAlignment="1">
      <alignment horizontal="center" vertical="center"/>
    </xf>
    <xf numFmtId="43" fontId="0" fillId="4" borderId="4" xfId="1" applyFont="1" applyFill="1" applyBorder="1" applyAlignment="1">
      <alignment horizontal="center" vertical="center"/>
    </xf>
    <xf numFmtId="43" fontId="5" fillId="4" borderId="4" xfId="1" applyFont="1" applyFill="1" applyBorder="1" applyAlignment="1">
      <alignment horizontal="center"/>
    </xf>
    <xf numFmtId="43" fontId="0" fillId="4" borderId="19" xfId="1" applyFont="1" applyFill="1" applyBorder="1" applyAlignment="1">
      <alignment horizontal="center"/>
    </xf>
    <xf numFmtId="43" fontId="0" fillId="0" borderId="4" xfId="1" applyFont="1" applyBorder="1" applyAlignment="1">
      <alignment horizontal="left" indent="6"/>
    </xf>
    <xf numFmtId="43" fontId="0" fillId="0" borderId="36" xfId="1" applyNumberFormat="1" applyFont="1" applyBorder="1" applyAlignment="1">
      <alignment horizontal="center"/>
    </xf>
    <xf numFmtId="43" fontId="0" fillId="4" borderId="44" xfId="1" applyFont="1" applyFill="1" applyBorder="1" applyAlignment="1">
      <alignment horizontal="left" indent="6"/>
    </xf>
    <xf numFmtId="43" fontId="0" fillId="4" borderId="44" xfId="1" applyFont="1" applyFill="1" applyBorder="1" applyAlignment="1">
      <alignment horizontal="left" indent="10"/>
    </xf>
    <xf numFmtId="43" fontId="0" fillId="4" borderId="44" xfId="1" applyFont="1" applyFill="1" applyBorder="1" applyAlignment="1">
      <alignment horizontal="left" indent="7"/>
    </xf>
    <xf numFmtId="43" fontId="0" fillId="4" borderId="47" xfId="1" applyNumberFormat="1" applyFont="1" applyFill="1" applyBorder="1" applyAlignment="1">
      <alignment horizontal="center"/>
    </xf>
    <xf numFmtId="43" fontId="0" fillId="0" borderId="5" xfId="1" applyNumberFormat="1" applyFont="1" applyBorder="1" applyAlignment="1">
      <alignment horizontal="center"/>
    </xf>
    <xf numFmtId="14" fontId="5" fillId="0" borderId="35" xfId="0" applyNumberFormat="1" applyFont="1" applyFill="1" applyBorder="1" applyAlignment="1">
      <alignment horizontal="center"/>
    </xf>
    <xf numFmtId="14" fontId="5" fillId="0" borderId="5" xfId="0" applyNumberFormat="1" applyFont="1" applyFill="1" applyBorder="1" applyAlignment="1">
      <alignment horizontal="center"/>
    </xf>
    <xf numFmtId="43" fontId="0" fillId="0" borderId="44" xfId="1" applyFont="1" applyFill="1" applyBorder="1" applyAlignment="1">
      <alignment horizontal="center"/>
    </xf>
    <xf numFmtId="43" fontId="0" fillId="4" borderId="4" xfId="1" applyFont="1" applyFill="1" applyBorder="1" applyAlignment="1">
      <alignment horizontal="left" indent="6"/>
    </xf>
    <xf numFmtId="43" fontId="0" fillId="4" borderId="4" xfId="1" applyFont="1" applyFill="1" applyBorder="1" applyAlignment="1">
      <alignment horizontal="left" indent="10"/>
    </xf>
    <xf numFmtId="43" fontId="0" fillId="4" borderId="4" xfId="1" applyFont="1" applyFill="1" applyBorder="1" applyAlignment="1">
      <alignment horizontal="left" indent="7"/>
    </xf>
    <xf numFmtId="43" fontId="0" fillId="4" borderId="4" xfId="1" applyFont="1" applyFill="1" applyBorder="1" applyAlignment="1">
      <alignment horizontal="left" indent="8"/>
    </xf>
    <xf numFmtId="43" fontId="0" fillId="4" borderId="36" xfId="1" applyNumberFormat="1" applyFont="1" applyFill="1" applyBorder="1" applyAlignment="1">
      <alignment horizontal="center"/>
    </xf>
    <xf numFmtId="43" fontId="0" fillId="0" borderId="41" xfId="1" applyFont="1" applyFill="1" applyBorder="1" applyAlignment="1">
      <alignment horizontal="left" indent="7"/>
    </xf>
    <xf numFmtId="43" fontId="0" fillId="4" borderId="41" xfId="1" applyFont="1" applyFill="1" applyBorder="1" applyAlignment="1">
      <alignment horizontal="left" indent="7"/>
    </xf>
    <xf numFmtId="43" fontId="0" fillId="4" borderId="27" xfId="1" applyFont="1" applyFill="1" applyBorder="1" applyAlignment="1">
      <alignment horizontal="left" indent="8"/>
    </xf>
    <xf numFmtId="43" fontId="0" fillId="0" borderId="41" xfId="1" applyFont="1" applyFill="1" applyBorder="1" applyAlignment="1">
      <alignment horizontal="left" indent="8"/>
    </xf>
    <xf numFmtId="43" fontId="0" fillId="0" borderId="20" xfId="1" applyFont="1" applyBorder="1" applyAlignment="1">
      <alignment horizontal="left" vertical="center" indent="6"/>
    </xf>
    <xf numFmtId="43" fontId="0" fillId="0" borderId="41" xfId="1" applyNumberFormat="1" applyFont="1" applyBorder="1" applyAlignment="1">
      <alignment horizontal="center"/>
    </xf>
    <xf numFmtId="168" fontId="0" fillId="0" borderId="20" xfId="1" applyNumberFormat="1" applyFont="1" applyBorder="1" applyAlignment="1">
      <alignment horizontal="left" vertical="center" indent="6"/>
    </xf>
    <xf numFmtId="43" fontId="0" fillId="4" borderId="27" xfId="1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3" fontId="0" fillId="0" borderId="30" xfId="1" applyFont="1" applyBorder="1" applyAlignment="1">
      <alignment horizontal="left" indent="7"/>
    </xf>
    <xf numFmtId="43" fontId="0" fillId="0" borderId="36" xfId="1" applyFont="1" applyFill="1" applyBorder="1" applyAlignment="1">
      <alignment horizontal="center"/>
    </xf>
    <xf numFmtId="43" fontId="0" fillId="0" borderId="36" xfId="1" applyFont="1" applyBorder="1" applyAlignment="1">
      <alignment horizontal="left" indent="7"/>
    </xf>
    <xf numFmtId="43" fontId="0" fillId="4" borderId="0" xfId="1" applyNumberFormat="1" applyFont="1" applyFill="1" applyBorder="1" applyAlignment="1">
      <alignment horizontal="center"/>
    </xf>
    <xf numFmtId="14" fontId="14" fillId="6" borderId="35" xfId="0" applyNumberFormat="1" applyFont="1" applyFill="1" applyBorder="1" applyAlignment="1">
      <alignment horizontal="center"/>
    </xf>
    <xf numFmtId="43" fontId="3" fillId="6" borderId="6" xfId="1" applyFont="1" applyFill="1" applyBorder="1" applyAlignment="1">
      <alignment horizontal="center"/>
    </xf>
    <xf numFmtId="43" fontId="3" fillId="6" borderId="4" xfId="1" applyFont="1" applyFill="1" applyBorder="1" applyAlignment="1">
      <alignment horizontal="center"/>
    </xf>
    <xf numFmtId="43" fontId="3" fillId="6" borderId="44" xfId="1" applyFont="1" applyFill="1" applyBorder="1" applyAlignment="1">
      <alignment horizontal="center"/>
    </xf>
    <xf numFmtId="43" fontId="3" fillId="6" borderId="27" xfId="1" applyFont="1" applyFill="1" applyBorder="1" applyAlignment="1">
      <alignment horizontal="center"/>
    </xf>
    <xf numFmtId="43" fontId="3" fillId="6" borderId="29" xfId="1" applyFont="1" applyFill="1" applyBorder="1" applyAlignment="1">
      <alignment horizontal="center"/>
    </xf>
    <xf numFmtId="43" fontId="3" fillId="6" borderId="10" xfId="1" applyFont="1" applyFill="1" applyBorder="1" applyAlignment="1">
      <alignment horizontal="left" vertical="center" indent="4"/>
    </xf>
    <xf numFmtId="43" fontId="3" fillId="6" borderId="6" xfId="1" applyFont="1" applyFill="1" applyBorder="1" applyAlignment="1">
      <alignment horizontal="left" indent="7"/>
    </xf>
    <xf numFmtId="43" fontId="3" fillId="6" borderId="6" xfId="1" applyFont="1" applyFill="1" applyBorder="1" applyAlignment="1">
      <alignment horizontal="left" indent="9"/>
    </xf>
    <xf numFmtId="43" fontId="3" fillId="6" borderId="4" xfId="1" applyFont="1" applyFill="1" applyBorder="1" applyAlignment="1">
      <alignment horizontal="left" indent="8"/>
    </xf>
    <xf numFmtId="43" fontId="3" fillId="6" borderId="27" xfId="1" applyFont="1" applyFill="1" applyBorder="1" applyAlignment="1">
      <alignment horizontal="left" indent="7"/>
    </xf>
    <xf numFmtId="43" fontId="0" fillId="0" borderId="28" xfId="1" applyNumberFormat="1" applyFont="1" applyBorder="1" applyAlignment="1">
      <alignment horizontal="center"/>
    </xf>
    <xf numFmtId="43" fontId="3" fillId="6" borderId="54" xfId="1" applyFont="1" applyFill="1" applyBorder="1" applyAlignment="1">
      <alignment horizontal="left" indent="9"/>
    </xf>
    <xf numFmtId="43" fontId="3" fillId="6" borderId="48" xfId="1" applyFont="1" applyFill="1" applyBorder="1" applyAlignment="1">
      <alignment horizontal="center"/>
    </xf>
    <xf numFmtId="43" fontId="3" fillId="6" borderId="45" xfId="1" applyFont="1" applyFill="1" applyBorder="1" applyAlignment="1">
      <alignment horizontal="center"/>
    </xf>
    <xf numFmtId="43" fontId="3" fillId="6" borderId="54" xfId="1" applyFont="1" applyFill="1" applyBorder="1" applyAlignment="1">
      <alignment horizontal="left" indent="7"/>
    </xf>
    <xf numFmtId="43" fontId="3" fillId="6" borderId="45" xfId="1" applyFont="1" applyFill="1" applyBorder="1" applyAlignment="1">
      <alignment horizontal="left" indent="9"/>
    </xf>
    <xf numFmtId="43" fontId="3" fillId="6" borderId="25" xfId="1" applyFont="1" applyFill="1" applyBorder="1" applyAlignment="1">
      <alignment horizontal="center"/>
    </xf>
    <xf numFmtId="43" fontId="3" fillId="6" borderId="25" xfId="1" applyFont="1" applyFill="1" applyBorder="1" applyAlignment="1">
      <alignment horizontal="left" indent="7"/>
    </xf>
    <xf numFmtId="43" fontId="3" fillId="6" borderId="52" xfId="1" applyFont="1" applyFill="1" applyBorder="1" applyAlignment="1">
      <alignment horizontal="left" vertical="center" indent="4"/>
    </xf>
    <xf numFmtId="43" fontId="3" fillId="4" borderId="8" xfId="0" applyNumberFormat="1" applyFont="1" applyFill="1" applyBorder="1"/>
    <xf numFmtId="43" fontId="3" fillId="4" borderId="9" xfId="0" applyNumberFormat="1" applyFont="1" applyFill="1" applyBorder="1"/>
    <xf numFmtId="43" fontId="3" fillId="4" borderId="55" xfId="0" applyNumberFormat="1" applyFont="1" applyFill="1" applyBorder="1"/>
    <xf numFmtId="14" fontId="14" fillId="7" borderId="35" xfId="0" applyNumberFormat="1" applyFont="1" applyFill="1" applyBorder="1" applyAlignment="1">
      <alignment horizontal="center"/>
    </xf>
    <xf numFmtId="43" fontId="3" fillId="7" borderId="27" xfId="1" applyFont="1" applyFill="1" applyBorder="1" applyAlignment="1">
      <alignment horizontal="center"/>
    </xf>
    <xf numFmtId="43" fontId="3" fillId="7" borderId="6" xfId="1" applyFont="1" applyFill="1" applyBorder="1" applyAlignment="1">
      <alignment horizontal="center"/>
    </xf>
    <xf numFmtId="43" fontId="3" fillId="7" borderId="37" xfId="1" applyFont="1" applyFill="1" applyBorder="1" applyAlignment="1">
      <alignment horizontal="center"/>
    </xf>
    <xf numFmtId="43" fontId="3" fillId="7" borderId="44" xfId="1" applyFont="1" applyFill="1" applyBorder="1" applyAlignment="1">
      <alignment horizontal="center"/>
    </xf>
    <xf numFmtId="43" fontId="5" fillId="0" borderId="28" xfId="1" applyFont="1" applyBorder="1" applyAlignment="1">
      <alignment horizontal="center"/>
    </xf>
    <xf numFmtId="43" fontId="0" fillId="0" borderId="38" xfId="1" applyFont="1" applyBorder="1" applyAlignment="1">
      <alignment horizontal="center"/>
    </xf>
    <xf numFmtId="43" fontId="0" fillId="0" borderId="39" xfId="1" applyFont="1" applyBorder="1" applyAlignment="1">
      <alignment horizontal="center"/>
    </xf>
    <xf numFmtId="43" fontId="3" fillId="7" borderId="25" xfId="1" applyFont="1" applyFill="1" applyBorder="1" applyAlignment="1">
      <alignment horizontal="center"/>
    </xf>
    <xf numFmtId="14" fontId="0" fillId="0" borderId="17" xfId="0" applyNumberFormat="1" applyFont="1" applyBorder="1" applyAlignment="1">
      <alignment horizontal="center"/>
    </xf>
    <xf numFmtId="14" fontId="14" fillId="7" borderId="56" xfId="0" applyNumberFormat="1" applyFont="1" applyFill="1" applyBorder="1" applyAlignment="1">
      <alignment horizontal="center"/>
    </xf>
    <xf numFmtId="43" fontId="3" fillId="7" borderId="43" xfId="1" applyFont="1" applyFill="1" applyBorder="1" applyAlignment="1">
      <alignment horizontal="center"/>
    </xf>
    <xf numFmtId="43" fontId="3" fillId="7" borderId="45" xfId="1" applyFont="1" applyFill="1" applyBorder="1" applyAlignment="1">
      <alignment horizontal="center"/>
    </xf>
    <xf numFmtId="43" fontId="3" fillId="7" borderId="31" xfId="1" applyFont="1" applyFill="1" applyBorder="1" applyAlignment="1">
      <alignment horizontal="center"/>
    </xf>
    <xf numFmtId="43" fontId="3" fillId="7" borderId="53" xfId="1" applyFont="1" applyFill="1" applyBorder="1" applyAlignment="1">
      <alignment horizontal="center"/>
    </xf>
    <xf numFmtId="43" fontId="14" fillId="4" borderId="26" xfId="0" applyNumberFormat="1" applyFont="1" applyFill="1" applyBorder="1"/>
    <xf numFmtId="43" fontId="14" fillId="4" borderId="8" xfId="0" applyNumberFormat="1" applyFont="1" applyFill="1" applyBorder="1"/>
    <xf numFmtId="43" fontId="14" fillId="4" borderId="9" xfId="0" applyNumberFormat="1" applyFont="1" applyFill="1" applyBorder="1"/>
    <xf numFmtId="43" fontId="14" fillId="4" borderId="55" xfId="0" applyNumberFormat="1" applyFont="1" applyFill="1" applyBorder="1"/>
    <xf numFmtId="43" fontId="0" fillId="0" borderId="41" xfId="0" applyNumberFormat="1" applyBorder="1" applyAlignment="1">
      <alignment horizontal="center"/>
    </xf>
    <xf numFmtId="43" fontId="0" fillId="0" borderId="20" xfId="0" applyNumberFormat="1" applyBorder="1" applyAlignment="1">
      <alignment horizontal="center"/>
    </xf>
    <xf numFmtId="43" fontId="3" fillId="7" borderId="41" xfId="1" applyFont="1" applyFill="1" applyBorder="1" applyAlignment="1">
      <alignment horizontal="center"/>
    </xf>
    <xf numFmtId="43" fontId="0" fillId="0" borderId="20" xfId="0" applyNumberFormat="1" applyBorder="1" applyAlignment="1">
      <alignment horizontal="left" indent="6"/>
    </xf>
    <xf numFmtId="43" fontId="0" fillId="0" borderId="30" xfId="0" applyNumberFormat="1" applyBorder="1" applyAlignment="1">
      <alignment horizontal="center"/>
    </xf>
    <xf numFmtId="43" fontId="0" fillId="0" borderId="42" xfId="0" applyNumberFormat="1" applyBorder="1" applyAlignment="1">
      <alignment horizontal="center"/>
    </xf>
    <xf numFmtId="173" fontId="0" fillId="0" borderId="0" xfId="0" applyNumberFormat="1" applyBorder="1"/>
    <xf numFmtId="172" fontId="0" fillId="0" borderId="0" xfId="0" applyNumberFormat="1" applyBorder="1"/>
    <xf numFmtId="172" fontId="0" fillId="0" borderId="0" xfId="1" applyNumberFormat="1" applyFont="1" applyBorder="1" applyAlignment="1">
      <alignment horizontal="left"/>
    </xf>
    <xf numFmtId="43" fontId="0" fillId="0" borderId="41" xfId="1" applyFont="1" applyBorder="1" applyAlignment="1">
      <alignment horizontal="left" indent="7"/>
    </xf>
    <xf numFmtId="0" fontId="17" fillId="0" borderId="0" xfId="0" applyFont="1"/>
    <xf numFmtId="43" fontId="0" fillId="0" borderId="4" xfId="1" applyNumberFormat="1" applyFont="1" applyBorder="1" applyAlignment="1">
      <alignment horizontal="left" indent="8"/>
    </xf>
    <xf numFmtId="168" fontId="0" fillId="0" borderId="41" xfId="1" applyNumberFormat="1" applyFont="1" applyBorder="1" applyAlignment="1">
      <alignment horizontal="left" indent="7"/>
    </xf>
    <xf numFmtId="43" fontId="0" fillId="0" borderId="28" xfId="1" applyNumberFormat="1" applyFont="1" applyBorder="1" applyAlignment="1">
      <alignment horizontal="left" indent="9"/>
    </xf>
    <xf numFmtId="43" fontId="14" fillId="4" borderId="33" xfId="0" applyNumberFormat="1" applyFont="1" applyFill="1" applyBorder="1"/>
    <xf numFmtId="43" fontId="0" fillId="0" borderId="28" xfId="1" applyFont="1" applyBorder="1" applyAlignment="1">
      <alignment horizontal="left" indent="8"/>
    </xf>
    <xf numFmtId="43" fontId="0" fillId="0" borderId="42" xfId="1" applyFont="1" applyBorder="1" applyAlignment="1">
      <alignment horizontal="left" indent="7"/>
    </xf>
    <xf numFmtId="43" fontId="0" fillId="0" borderId="19" xfId="1" applyNumberFormat="1" applyFont="1" applyBorder="1" applyAlignment="1">
      <alignment horizontal="left" indent="8"/>
    </xf>
    <xf numFmtId="43" fontId="0" fillId="0" borderId="19" xfId="1" applyFont="1" applyFill="1" applyBorder="1" applyAlignment="1">
      <alignment horizontal="center"/>
    </xf>
    <xf numFmtId="168" fontId="0" fillId="0" borderId="42" xfId="1" applyNumberFormat="1" applyFont="1" applyBorder="1" applyAlignment="1">
      <alignment horizontal="left" indent="7"/>
    </xf>
    <xf numFmtId="43" fontId="0" fillId="0" borderId="50" xfId="1" applyFont="1" applyBorder="1" applyAlignment="1">
      <alignment horizontal="left" indent="7"/>
    </xf>
    <xf numFmtId="43" fontId="3" fillId="6" borderId="48" xfId="1" applyNumberFormat="1" applyFont="1" applyFill="1" applyBorder="1" applyAlignment="1">
      <alignment horizontal="left" indent="8"/>
    </xf>
    <xf numFmtId="0" fontId="9" fillId="0" borderId="0" xfId="0" applyFont="1"/>
    <xf numFmtId="0" fontId="4" fillId="2" borderId="21" xfId="2" applyFont="1" applyFill="1" applyBorder="1" applyAlignment="1">
      <alignment horizontal="center" wrapText="1"/>
    </xf>
    <xf numFmtId="0" fontId="4" fillId="2" borderId="22" xfId="2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wrapText="1"/>
    </xf>
    <xf numFmtId="0" fontId="4" fillId="2" borderId="16" xfId="2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7" fillId="0" borderId="0" xfId="0" applyFont="1" applyAlignment="1"/>
    <xf numFmtId="0" fontId="7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/>
    <xf numFmtId="167" fontId="3" fillId="0" borderId="0" xfId="3" applyNumberFormat="1" applyFont="1" applyFill="1"/>
    <xf numFmtId="166" fontId="3" fillId="0" borderId="0" xfId="0" applyNumberFormat="1" applyFont="1" applyFill="1"/>
  </cellXfs>
  <cellStyles count="5">
    <cellStyle name="Komma" xfId="1" builtinId="3"/>
    <cellStyle name="Komma 2" xfId="4" xr:uid="{00000000-0005-0000-0000-00002F000000}"/>
    <cellStyle name="Standard" xfId="0" builtinId="0"/>
    <cellStyle name="Überschrift 2" xfId="2" builtinId="17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1097280</xdr:colOff>
      <xdr:row>6</xdr:row>
      <xdr:rowOff>167640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2C23A7B-DF91-406F-8FA7-8DEA8951B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1264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883920</xdr:colOff>
      <xdr:row>6</xdr:row>
      <xdr:rowOff>167640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id="{B72D7007-2B39-4752-B8C2-E8B5CD9FF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1264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335280</xdr:colOff>
      <xdr:row>6</xdr:row>
      <xdr:rowOff>167640</xdr:rowOff>
    </xdr:to>
    <xdr:pic>
      <xdr:nvPicPr>
        <xdr:cNvPr id="6" name="Grafik 1">
          <a:extLst>
            <a:ext uri="{FF2B5EF4-FFF2-40B4-BE49-F238E27FC236}">
              <a16:creationId xmlns:a16="http://schemas.microsoft.com/office/drawing/2014/main" id="{2F102E51-4134-47D8-B58E-D3CBE7A33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1264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373380</xdr:colOff>
      <xdr:row>6</xdr:row>
      <xdr:rowOff>167640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A7999C8-4266-405B-AD46-2F36B228A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1264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685D9-7919-4135-9FCA-05F3F06F1BFF}">
  <sheetPr>
    <pageSetUpPr fitToPage="1"/>
  </sheetPr>
  <dimension ref="A8:T129"/>
  <sheetViews>
    <sheetView tabSelected="1" zoomScaleNormal="100" workbookViewId="0">
      <selection activeCell="C135" sqref="C135"/>
    </sheetView>
  </sheetViews>
  <sheetFormatPr baseColWidth="10" defaultRowHeight="15" x14ac:dyDescent="0.25"/>
  <cols>
    <col min="1" max="1" width="14.85546875" customWidth="1"/>
    <col min="2" max="2" width="20.85546875" customWidth="1"/>
    <col min="3" max="3" width="19.140625" customWidth="1"/>
    <col min="4" max="5" width="19.85546875" customWidth="1"/>
    <col min="6" max="6" width="21" customWidth="1"/>
    <col min="7" max="7" width="18.5703125" customWidth="1"/>
    <col min="8" max="8" width="19.85546875" customWidth="1"/>
    <col min="9" max="10" width="18" customWidth="1"/>
    <col min="11" max="11" width="20.42578125" bestFit="1" customWidth="1"/>
    <col min="12" max="12" width="18" customWidth="1"/>
    <col min="13" max="13" width="18.5703125" bestFit="1" customWidth="1"/>
    <col min="19" max="19" width="18.28515625" bestFit="1" customWidth="1"/>
    <col min="20" max="20" width="25.5703125" bestFit="1" customWidth="1"/>
  </cols>
  <sheetData>
    <row r="8" spans="1:14" ht="18.75" x14ac:dyDescent="0.3">
      <c r="A8" s="36" t="s">
        <v>25</v>
      </c>
      <c r="B8" s="1"/>
      <c r="C8" s="1"/>
      <c r="D8" s="1"/>
      <c r="E8" s="1"/>
      <c r="F8" s="1"/>
      <c r="G8" s="1"/>
      <c r="H8" s="1"/>
    </row>
    <row r="9" spans="1:14" ht="17.25" x14ac:dyDescent="0.3">
      <c r="A9" s="1"/>
      <c r="B9" s="1"/>
      <c r="C9" s="1"/>
      <c r="D9" s="1"/>
      <c r="E9" s="1"/>
      <c r="F9" s="1"/>
      <c r="G9" s="1"/>
      <c r="H9" s="1"/>
    </row>
    <row r="10" spans="1:14" ht="17.25" x14ac:dyDescent="0.3">
      <c r="A10" s="35" t="s">
        <v>31</v>
      </c>
      <c r="B10" s="1"/>
      <c r="C10" s="1"/>
      <c r="D10" s="1"/>
      <c r="E10" s="1"/>
      <c r="F10" s="1"/>
      <c r="G10" s="1"/>
      <c r="H10" s="1"/>
    </row>
    <row r="11" spans="1:14" ht="57.6" customHeight="1" x14ac:dyDescent="0.25">
      <c r="A11" s="262" t="s">
        <v>2</v>
      </c>
      <c r="B11" s="269" t="s">
        <v>28</v>
      </c>
      <c r="C11" s="271"/>
      <c r="D11" s="271"/>
      <c r="E11" s="271"/>
      <c r="F11" s="270"/>
      <c r="G11" s="269" t="s">
        <v>29</v>
      </c>
      <c r="H11" s="270"/>
      <c r="I11" s="37" t="s">
        <v>30</v>
      </c>
      <c r="J11" s="40" t="s">
        <v>54</v>
      </c>
      <c r="K11" s="40" t="s">
        <v>1</v>
      </c>
      <c r="L11" s="266" t="s">
        <v>55</v>
      </c>
      <c r="M11" s="264" t="s">
        <v>0</v>
      </c>
      <c r="N11" s="20"/>
    </row>
    <row r="12" spans="1:14" ht="60.75" thickBot="1" x14ac:dyDescent="0.3">
      <c r="A12" s="263"/>
      <c r="B12" s="50" t="s">
        <v>57</v>
      </c>
      <c r="C12" s="84" t="s">
        <v>38</v>
      </c>
      <c r="D12" s="84" t="s">
        <v>58</v>
      </c>
      <c r="E12" s="84" t="s">
        <v>69</v>
      </c>
      <c r="F12" s="125" t="s">
        <v>70</v>
      </c>
      <c r="G12" s="50" t="s">
        <v>39</v>
      </c>
      <c r="H12" s="111" t="s">
        <v>58</v>
      </c>
      <c r="I12" s="53" t="s">
        <v>40</v>
      </c>
      <c r="J12" s="53" t="s">
        <v>37</v>
      </c>
      <c r="K12" s="53" t="s">
        <v>65</v>
      </c>
      <c r="L12" s="267"/>
      <c r="M12" s="265"/>
      <c r="N12" s="20"/>
    </row>
    <row r="13" spans="1:14" x14ac:dyDescent="0.25">
      <c r="A13" s="5">
        <v>43929</v>
      </c>
      <c r="B13" s="12">
        <f>1296607608.2/1000000</f>
        <v>1296.6076082</v>
      </c>
      <c r="C13" s="41">
        <f>112750000/1000000</f>
        <v>112.75</v>
      </c>
      <c r="D13" s="165"/>
      <c r="E13" s="165"/>
      <c r="F13" s="140"/>
      <c r="G13" s="108">
        <f>50013590.82/1000000</f>
        <v>50.013590819999997</v>
      </c>
      <c r="H13" s="140"/>
      <c r="I13" s="144"/>
      <c r="J13" s="144"/>
      <c r="K13" s="144"/>
      <c r="L13" s="144"/>
      <c r="M13" s="59">
        <f t="shared" ref="M13:M42" si="0">SUM(B13:L13)</f>
        <v>1459.3711990199999</v>
      </c>
      <c r="N13" s="20"/>
    </row>
    <row r="14" spans="1:14" x14ac:dyDescent="0.25">
      <c r="A14" s="2">
        <v>43936</v>
      </c>
      <c r="B14" s="13">
        <f>934257605.16/1000000</f>
        <v>934.25760515999991</v>
      </c>
      <c r="C14" s="42">
        <f>150400000/1000000</f>
        <v>150.4</v>
      </c>
      <c r="D14" s="166"/>
      <c r="E14" s="166"/>
      <c r="F14" s="141"/>
      <c r="G14" s="100">
        <f>26623409.54/1000000</f>
        <v>26.623409540000001</v>
      </c>
      <c r="H14" s="141"/>
      <c r="I14" s="145"/>
      <c r="J14" s="144"/>
      <c r="K14" s="144"/>
      <c r="L14" s="144"/>
      <c r="M14" s="59">
        <f t="shared" si="0"/>
        <v>1111.2810147</v>
      </c>
      <c r="N14" s="20"/>
    </row>
    <row r="15" spans="1:14" x14ac:dyDescent="0.25">
      <c r="A15" s="2">
        <v>43948</v>
      </c>
      <c r="B15" s="13">
        <f>458455542.57/1000000</f>
        <v>458.45554256999998</v>
      </c>
      <c r="C15" s="42">
        <f>91000000/1000000</f>
        <v>91</v>
      </c>
      <c r="D15" s="166"/>
      <c r="E15" s="166"/>
      <c r="F15" s="141"/>
      <c r="G15" s="100">
        <f>45187973.78/1000000</f>
        <v>45.18797378</v>
      </c>
      <c r="H15" s="141"/>
      <c r="I15" s="145"/>
      <c r="J15" s="144"/>
      <c r="K15" s="144"/>
      <c r="L15" s="144"/>
      <c r="M15" s="59">
        <f t="shared" si="0"/>
        <v>594.64351635000003</v>
      </c>
      <c r="N15" s="20"/>
    </row>
    <row r="16" spans="1:14" x14ac:dyDescent="0.25">
      <c r="A16" s="2">
        <v>43955</v>
      </c>
      <c r="B16" s="13">
        <f>457853643.93/1000000</f>
        <v>457.85364393000003</v>
      </c>
      <c r="C16" s="42">
        <f>15250000/1000000</f>
        <v>15.25</v>
      </c>
      <c r="D16" s="166"/>
      <c r="E16" s="166"/>
      <c r="F16" s="141"/>
      <c r="G16" s="100">
        <f>3154815.47/1000000</f>
        <v>3.1548154700000004</v>
      </c>
      <c r="H16" s="141"/>
      <c r="I16" s="145"/>
      <c r="J16" s="144"/>
      <c r="K16" s="144"/>
      <c r="L16" s="144"/>
      <c r="M16" s="59">
        <f t="shared" si="0"/>
        <v>476.25845940000005</v>
      </c>
      <c r="N16" s="20"/>
    </row>
    <row r="17" spans="1:14" x14ac:dyDescent="0.25">
      <c r="A17" s="2">
        <v>43959</v>
      </c>
      <c r="B17" s="13">
        <f>433995370.81/1000000</f>
        <v>433.99537081</v>
      </c>
      <c r="C17" s="42">
        <f>49600000/1000000</f>
        <v>49.6</v>
      </c>
      <c r="D17" s="166"/>
      <c r="E17" s="166"/>
      <c r="F17" s="141"/>
      <c r="G17" s="100">
        <f>6621082.81/1000000</f>
        <v>6.6210828099999999</v>
      </c>
      <c r="H17" s="141"/>
      <c r="I17" s="145"/>
      <c r="J17" s="144"/>
      <c r="K17" s="144"/>
      <c r="L17" s="144"/>
      <c r="M17" s="59">
        <f t="shared" si="0"/>
        <v>490.21645362000004</v>
      </c>
      <c r="N17" s="20"/>
    </row>
    <row r="18" spans="1:14" x14ac:dyDescent="0.25">
      <c r="A18" s="2">
        <v>43966</v>
      </c>
      <c r="B18" s="13">
        <f>370037173.05/1000000</f>
        <v>370.03717305000004</v>
      </c>
      <c r="C18" s="42">
        <f>7000000/1000000</f>
        <v>7</v>
      </c>
      <c r="D18" s="166"/>
      <c r="E18" s="166"/>
      <c r="F18" s="141"/>
      <c r="G18" s="109">
        <f>19453493.68/1000000</f>
        <v>19.453493680000001</v>
      </c>
      <c r="H18" s="141"/>
      <c r="I18" s="145"/>
      <c r="J18" s="145"/>
      <c r="K18" s="144"/>
      <c r="L18" s="144"/>
      <c r="M18" s="59">
        <f t="shared" si="0"/>
        <v>396.49066673000004</v>
      </c>
      <c r="N18" s="20"/>
    </row>
    <row r="19" spans="1:14" x14ac:dyDescent="0.25">
      <c r="A19" s="2">
        <v>43977</v>
      </c>
      <c r="B19" s="13">
        <f>474184744.03/1000000</f>
        <v>474.18474402999999</v>
      </c>
      <c r="C19" s="42">
        <f>8650000/1000000</f>
        <v>8.65</v>
      </c>
      <c r="D19" s="166"/>
      <c r="E19" s="166"/>
      <c r="F19" s="141"/>
      <c r="G19" s="100">
        <f>25111136.94/1000000</f>
        <v>25.111136940000002</v>
      </c>
      <c r="H19" s="141"/>
      <c r="I19" s="145"/>
      <c r="J19" s="144"/>
      <c r="K19" s="144"/>
      <c r="L19" s="144"/>
      <c r="M19" s="59">
        <f t="shared" si="0"/>
        <v>507.94588096999996</v>
      </c>
      <c r="N19" s="20"/>
    </row>
    <row r="20" spans="1:14" x14ac:dyDescent="0.25">
      <c r="A20" s="2">
        <v>43979</v>
      </c>
      <c r="B20" s="13" t="s">
        <v>3</v>
      </c>
      <c r="C20" s="42" t="s">
        <v>3</v>
      </c>
      <c r="D20" s="166"/>
      <c r="E20" s="166"/>
      <c r="F20" s="141"/>
      <c r="G20" s="100" t="s">
        <v>3</v>
      </c>
      <c r="H20" s="141"/>
      <c r="I20" s="45">
        <f>118944496.12/1000000</f>
        <v>118.94449612000001</v>
      </c>
      <c r="J20" s="144"/>
      <c r="K20" s="144"/>
      <c r="L20" s="144"/>
      <c r="M20" s="59">
        <f t="shared" si="0"/>
        <v>118.94449612000001</v>
      </c>
      <c r="N20" s="20"/>
    </row>
    <row r="21" spans="1:14" x14ac:dyDescent="0.25">
      <c r="A21" s="2">
        <v>43984</v>
      </c>
      <c r="B21" s="14">
        <f>278142767.61/1000000</f>
        <v>278.14276761000002</v>
      </c>
      <c r="C21" s="43">
        <f>15500000/1000000</f>
        <v>15.5</v>
      </c>
      <c r="D21" s="167"/>
      <c r="E21" s="167"/>
      <c r="F21" s="142"/>
      <c r="G21" s="110">
        <f>8280029.37/1000000</f>
        <v>8.2800293699999994</v>
      </c>
      <c r="H21" s="142"/>
      <c r="I21" s="47">
        <f>248230130.52/1000000</f>
        <v>248.23013052000002</v>
      </c>
      <c r="J21" s="61"/>
      <c r="K21" s="61"/>
      <c r="L21" s="61"/>
      <c r="M21" s="59">
        <f t="shared" si="0"/>
        <v>550.15292750000003</v>
      </c>
      <c r="N21" s="20"/>
    </row>
    <row r="22" spans="1:14" x14ac:dyDescent="0.25">
      <c r="A22" s="2">
        <v>43990</v>
      </c>
      <c r="B22" s="9">
        <f>283513430.5/1000000</f>
        <v>283.51343050000003</v>
      </c>
      <c r="C22" s="11">
        <f>31550000/1000000</f>
        <v>31.55</v>
      </c>
      <c r="D22" s="138"/>
      <c r="E22" s="138"/>
      <c r="F22" s="123"/>
      <c r="G22" s="73">
        <f>2751434.39/1000000</f>
        <v>2.75143439</v>
      </c>
      <c r="H22" s="123"/>
      <c r="I22" s="47">
        <f>202605745.99/1000000</f>
        <v>202.60574599</v>
      </c>
      <c r="J22" s="61"/>
      <c r="K22" s="61"/>
      <c r="L22" s="61"/>
      <c r="M22" s="59">
        <f t="shared" si="0"/>
        <v>520.42061088000003</v>
      </c>
      <c r="N22" s="20"/>
    </row>
    <row r="23" spans="1:14" x14ac:dyDescent="0.25">
      <c r="A23" s="2">
        <v>43997</v>
      </c>
      <c r="B23" s="9">
        <f>340748405.92/1000000</f>
        <v>340.74840592000004</v>
      </c>
      <c r="C23" s="11">
        <f>38900000/1000000</f>
        <v>38.9</v>
      </c>
      <c r="D23" s="138"/>
      <c r="E23" s="138"/>
      <c r="F23" s="123"/>
      <c r="G23" s="73">
        <f>26892946.66/1000000</f>
        <v>26.89294666</v>
      </c>
      <c r="H23" s="123"/>
      <c r="I23" s="47">
        <f>103674205.34/1000000</f>
        <v>103.67420534</v>
      </c>
      <c r="J23" s="61"/>
      <c r="K23" s="61"/>
      <c r="L23" s="61"/>
      <c r="M23" s="59">
        <f t="shared" si="0"/>
        <v>510.21555792000004</v>
      </c>
      <c r="N23" s="20"/>
    </row>
    <row r="24" spans="1:14" x14ac:dyDescent="0.25">
      <c r="A24" s="2">
        <v>44007</v>
      </c>
      <c r="B24" s="9">
        <f>406333149.94/1000000</f>
        <v>406.33314994</v>
      </c>
      <c r="C24" s="11">
        <f>2100000/1000000</f>
        <v>2.1</v>
      </c>
      <c r="D24" s="138"/>
      <c r="E24" s="138"/>
      <c r="F24" s="123"/>
      <c r="G24" s="73">
        <f>23932178.33/1000000</f>
        <v>23.932178329999999</v>
      </c>
      <c r="H24" s="123"/>
      <c r="I24" s="47">
        <f>81389622.14/1000000</f>
        <v>81.38962214</v>
      </c>
      <c r="J24" s="61"/>
      <c r="K24" s="61"/>
      <c r="L24" s="61"/>
      <c r="M24" s="59">
        <f t="shared" si="0"/>
        <v>513.75495040999999</v>
      </c>
      <c r="N24" s="20"/>
    </row>
    <row r="25" spans="1:14" x14ac:dyDescent="0.25">
      <c r="A25" s="2">
        <v>44013</v>
      </c>
      <c r="B25" s="9">
        <f>327768616.67/1000000</f>
        <v>327.76861667000003</v>
      </c>
      <c r="C25" s="11">
        <f>7600000/1000000</f>
        <v>7.6</v>
      </c>
      <c r="D25" s="138"/>
      <c r="E25" s="138"/>
      <c r="F25" s="123"/>
      <c r="G25" s="73">
        <f>8817118.5/1000000</f>
        <v>8.8171184999999994</v>
      </c>
      <c r="H25" s="123"/>
      <c r="I25" s="47">
        <f>29333225.02/1000000</f>
        <v>29.33322502</v>
      </c>
      <c r="J25" s="61"/>
      <c r="K25" s="61"/>
      <c r="L25" s="61"/>
      <c r="M25" s="59">
        <f t="shared" si="0"/>
        <v>373.51896019000003</v>
      </c>
      <c r="N25" s="20"/>
    </row>
    <row r="26" spans="1:14" x14ac:dyDescent="0.25">
      <c r="A26" s="105">
        <v>44020</v>
      </c>
      <c r="B26" s="9">
        <f>239668467.51/1000000</f>
        <v>239.66846751</v>
      </c>
      <c r="C26" s="11">
        <f>1150000/1000000</f>
        <v>1.1499999999999999</v>
      </c>
      <c r="D26" s="138"/>
      <c r="E26" s="138"/>
      <c r="F26" s="123"/>
      <c r="G26" s="73">
        <f>9228630.03/1000000</f>
        <v>9.2286300299999997</v>
      </c>
      <c r="H26" s="123"/>
      <c r="I26" s="47">
        <f>22774511.25/1000000</f>
        <v>22.77451125</v>
      </c>
      <c r="J26" s="61"/>
      <c r="K26" s="62">
        <f>884680.58/1000000</f>
        <v>0.88468057999999994</v>
      </c>
      <c r="L26" s="61"/>
      <c r="M26" s="59">
        <f t="shared" si="0"/>
        <v>273.70628937000004</v>
      </c>
      <c r="N26" s="20"/>
    </row>
    <row r="27" spans="1:14" x14ac:dyDescent="0.25">
      <c r="A27" s="105">
        <v>44027</v>
      </c>
      <c r="B27" s="9">
        <f>343353862.85/1000000</f>
        <v>343.35386285000004</v>
      </c>
      <c r="C27" s="11">
        <f>2800000/1000000</f>
        <v>2.8</v>
      </c>
      <c r="D27" s="138"/>
      <c r="E27" s="138"/>
      <c r="F27" s="123"/>
      <c r="G27" s="73">
        <f>29444939.25/1000000</f>
        <v>29.444939250000001</v>
      </c>
      <c r="H27" s="123"/>
      <c r="I27" s="47">
        <f>1014733.48/1000000</f>
        <v>1.0147334800000001</v>
      </c>
      <c r="J27" s="61"/>
      <c r="K27" s="62" t="s">
        <v>3</v>
      </c>
      <c r="L27" s="61"/>
      <c r="M27" s="59">
        <f t="shared" si="0"/>
        <v>376.61353558000008</v>
      </c>
      <c r="N27" s="20"/>
    </row>
    <row r="28" spans="1:14" x14ac:dyDescent="0.25">
      <c r="A28" s="105">
        <v>44040</v>
      </c>
      <c r="B28" s="9">
        <f>488031275.3/1000000</f>
        <v>488.0312753</v>
      </c>
      <c r="C28" s="11">
        <f>3650000/1000000</f>
        <v>3.65</v>
      </c>
      <c r="D28" s="138"/>
      <c r="E28" s="138"/>
      <c r="F28" s="123"/>
      <c r="G28" s="73">
        <f>13387179.18/1000000</f>
        <v>13.38717918</v>
      </c>
      <c r="H28" s="123"/>
      <c r="I28" s="47">
        <f>254280.3/1000000</f>
        <v>0.25428030000000001</v>
      </c>
      <c r="J28" s="61"/>
      <c r="K28" s="62">
        <f>55545.38/1000000</f>
        <v>5.5545379999999998E-2</v>
      </c>
      <c r="L28" s="61"/>
      <c r="M28" s="59">
        <f t="shared" si="0"/>
        <v>505.37828015999997</v>
      </c>
      <c r="N28" s="20"/>
    </row>
    <row r="29" spans="1:14" x14ac:dyDescent="0.25">
      <c r="A29" s="105">
        <v>44046</v>
      </c>
      <c r="B29" s="9">
        <f>103915407.09/1000000</f>
        <v>103.91540709</v>
      </c>
      <c r="C29" s="11">
        <f>6700000/1000000</f>
        <v>6.7</v>
      </c>
      <c r="D29" s="138"/>
      <c r="E29" s="138"/>
      <c r="F29" s="123"/>
      <c r="G29" s="73">
        <f>3307230.74/1000000</f>
        <v>3.3072307400000001</v>
      </c>
      <c r="H29" s="123"/>
      <c r="I29" s="47" t="s">
        <v>3</v>
      </c>
      <c r="J29" s="61"/>
      <c r="K29" s="62" t="s">
        <v>3</v>
      </c>
      <c r="L29" s="61"/>
      <c r="M29" s="59">
        <f t="shared" si="0"/>
        <v>113.92263783</v>
      </c>
      <c r="N29" s="20"/>
    </row>
    <row r="30" spans="1:14" x14ac:dyDescent="0.25">
      <c r="A30" s="105">
        <v>44053</v>
      </c>
      <c r="B30" s="9">
        <f>118268356.04/1000000</f>
        <v>118.26835604</v>
      </c>
      <c r="C30" s="11">
        <f>5350000/1000000</f>
        <v>5.35</v>
      </c>
      <c r="D30" s="138"/>
      <c r="E30" s="138"/>
      <c r="F30" s="123"/>
      <c r="G30" s="73">
        <f>5519153.06/1000000</f>
        <v>5.5191530599999998</v>
      </c>
      <c r="H30" s="123"/>
      <c r="I30" s="47">
        <f>4162360.33/1000000</f>
        <v>4.1623603300000003</v>
      </c>
      <c r="J30" s="61"/>
      <c r="K30" s="62">
        <f>658809.6/1000000</f>
        <v>0.6588096</v>
      </c>
      <c r="L30" s="61"/>
      <c r="M30" s="59">
        <f t="shared" si="0"/>
        <v>133.95867903000001</v>
      </c>
      <c r="N30" s="20"/>
    </row>
    <row r="31" spans="1:14" x14ac:dyDescent="0.25">
      <c r="A31" s="105">
        <v>44060</v>
      </c>
      <c r="B31" s="9">
        <f>200968655.6/1000000</f>
        <v>200.96865560000001</v>
      </c>
      <c r="C31" s="11">
        <f>600000/1000000</f>
        <v>0.6</v>
      </c>
      <c r="D31" s="138"/>
      <c r="E31" s="138"/>
      <c r="F31" s="123"/>
      <c r="G31" s="73">
        <f>1035607.64/1000000</f>
        <v>1.0356076400000001</v>
      </c>
      <c r="H31" s="123"/>
      <c r="I31" s="47" t="s">
        <v>3</v>
      </c>
      <c r="J31" s="61"/>
      <c r="K31" s="62" t="s">
        <v>3</v>
      </c>
      <c r="L31" s="61"/>
      <c r="M31" s="59">
        <f t="shared" si="0"/>
        <v>202.60426323999999</v>
      </c>
      <c r="N31" s="20"/>
    </row>
    <row r="32" spans="1:14" x14ac:dyDescent="0.25">
      <c r="A32" s="105">
        <v>44069</v>
      </c>
      <c r="B32" s="9">
        <f>212360218.82/1000000</f>
        <v>212.36021882</v>
      </c>
      <c r="C32" s="11">
        <f>4050000/1000000</f>
        <v>4.05</v>
      </c>
      <c r="D32" s="138"/>
      <c r="E32" s="138"/>
      <c r="F32" s="123"/>
      <c r="G32" s="73">
        <f>942922.28/1000000</f>
        <v>0.94292228</v>
      </c>
      <c r="H32" s="123"/>
      <c r="I32" s="47" t="s">
        <v>3</v>
      </c>
      <c r="J32" s="61"/>
      <c r="K32" s="63">
        <v>0.95302659999999995</v>
      </c>
      <c r="L32" s="61"/>
      <c r="M32" s="59">
        <f t="shared" si="0"/>
        <v>218.3061677</v>
      </c>
      <c r="N32" s="20"/>
    </row>
    <row r="33" spans="1:14" x14ac:dyDescent="0.25">
      <c r="A33" s="105">
        <v>44075</v>
      </c>
      <c r="B33" s="9">
        <f>142900469.94/1000000</f>
        <v>142.90046993999999</v>
      </c>
      <c r="C33" s="11">
        <f>550000/1000000</f>
        <v>0.55000000000000004</v>
      </c>
      <c r="D33" s="138"/>
      <c r="E33" s="138"/>
      <c r="F33" s="123"/>
      <c r="G33" s="73">
        <f>4021419.24/1000000</f>
        <v>4.0214192400000002</v>
      </c>
      <c r="H33" s="123"/>
      <c r="I33" s="47" t="s">
        <v>3</v>
      </c>
      <c r="J33" s="61"/>
      <c r="K33" s="62" t="s">
        <v>3</v>
      </c>
      <c r="L33" s="61"/>
      <c r="M33" s="59">
        <f t="shared" si="0"/>
        <v>147.47188918000001</v>
      </c>
      <c r="N33" s="20"/>
    </row>
    <row r="34" spans="1:14" x14ac:dyDescent="0.25">
      <c r="A34" s="105">
        <v>44082</v>
      </c>
      <c r="B34" s="9">
        <f>173338886.26/1000000</f>
        <v>173.33888625999998</v>
      </c>
      <c r="C34" s="11">
        <f>800000/1000000</f>
        <v>0.8</v>
      </c>
      <c r="D34" s="138"/>
      <c r="E34" s="138"/>
      <c r="F34" s="123"/>
      <c r="G34" s="73">
        <f>4024376.89/1000000</f>
        <v>4.0243768900000001</v>
      </c>
      <c r="H34" s="123"/>
      <c r="I34" s="47">
        <f>1402901.47/1000000</f>
        <v>1.40290147</v>
      </c>
      <c r="J34" s="61"/>
      <c r="K34" s="63">
        <f>124267.08/1000000</f>
        <v>0.12426708</v>
      </c>
      <c r="L34" s="61"/>
      <c r="M34" s="59">
        <f t="shared" si="0"/>
        <v>179.6904317</v>
      </c>
      <c r="N34" s="20"/>
    </row>
    <row r="35" spans="1:14" x14ac:dyDescent="0.25">
      <c r="A35" s="105">
        <v>44089</v>
      </c>
      <c r="B35" s="9">
        <f>217041297.3/1000000</f>
        <v>217.04129730000002</v>
      </c>
      <c r="C35" s="11">
        <f>800000/1000000</f>
        <v>0.8</v>
      </c>
      <c r="D35" s="138"/>
      <c r="E35" s="138"/>
      <c r="F35" s="123"/>
      <c r="G35" s="73">
        <f>4794613.03/1000000</f>
        <v>4.7946130299999998</v>
      </c>
      <c r="H35" s="123"/>
      <c r="I35" s="47" t="s">
        <v>3</v>
      </c>
      <c r="J35" s="61"/>
      <c r="K35" s="62" t="s">
        <v>3</v>
      </c>
      <c r="L35" s="61"/>
      <c r="M35" s="59">
        <f t="shared" si="0"/>
        <v>222.63591033000003</v>
      </c>
      <c r="N35" s="20"/>
    </row>
    <row r="36" spans="1:14" x14ac:dyDescent="0.25">
      <c r="A36" s="105">
        <v>44099</v>
      </c>
      <c r="B36" s="9">
        <f>458227397.72/1000000</f>
        <v>458.22739772000006</v>
      </c>
      <c r="C36" s="11">
        <f>51250000/1000000</f>
        <v>51.25</v>
      </c>
      <c r="D36" s="138"/>
      <c r="E36" s="138"/>
      <c r="F36" s="123"/>
      <c r="G36" s="73">
        <f>8057716.27/1000000</f>
        <v>8.0577162700000002</v>
      </c>
      <c r="H36" s="123"/>
      <c r="I36" s="47" t="s">
        <v>3</v>
      </c>
      <c r="J36" s="61"/>
      <c r="K36" s="62" t="s">
        <v>3</v>
      </c>
      <c r="L36" s="61"/>
      <c r="M36" s="59">
        <f t="shared" si="0"/>
        <v>517.53511399000001</v>
      </c>
      <c r="N36" s="20"/>
    </row>
    <row r="37" spans="1:14" x14ac:dyDescent="0.25">
      <c r="A37" s="105">
        <v>44105</v>
      </c>
      <c r="B37" s="9">
        <f>61375033.12/1000000</f>
        <v>61.375033119999998</v>
      </c>
      <c r="C37" s="11">
        <f>5450000/1000000</f>
        <v>5.45</v>
      </c>
      <c r="D37" s="138"/>
      <c r="E37" s="138"/>
      <c r="F37" s="123"/>
      <c r="G37" s="73">
        <f>2426396.25/1000000</f>
        <v>2.4263962499999998</v>
      </c>
      <c r="H37" s="123"/>
      <c r="I37" s="47" t="s">
        <v>3</v>
      </c>
      <c r="J37" s="61"/>
      <c r="K37" s="62" t="s">
        <v>3</v>
      </c>
      <c r="L37" s="61"/>
      <c r="M37" s="59">
        <f t="shared" si="0"/>
        <v>69.251429369999997</v>
      </c>
      <c r="N37" s="20"/>
    </row>
    <row r="38" spans="1:14" x14ac:dyDescent="0.25">
      <c r="A38" s="105">
        <v>44112</v>
      </c>
      <c r="B38" s="9">
        <f>75969219.91/1000000</f>
        <v>75.969219909999993</v>
      </c>
      <c r="C38" s="11">
        <f>4150000/1000000</f>
        <v>4.1500000000000004</v>
      </c>
      <c r="D38" s="138"/>
      <c r="E38" s="138"/>
      <c r="F38" s="123"/>
      <c r="G38" s="73">
        <f>2387675.28/1000000</f>
        <v>2.3876752799999998</v>
      </c>
      <c r="H38" s="123"/>
      <c r="I38" s="47">
        <f>270729.62/1000000</f>
        <v>0.27072962</v>
      </c>
      <c r="J38" s="61"/>
      <c r="K38" s="63">
        <f>2015167.9/1000000</f>
        <v>2.0151678999999998</v>
      </c>
      <c r="L38" s="61"/>
      <c r="M38" s="59">
        <f t="shared" si="0"/>
        <v>84.792792709999986</v>
      </c>
      <c r="N38" s="20"/>
    </row>
    <row r="39" spans="1:14" x14ac:dyDescent="0.25">
      <c r="A39" s="105">
        <v>44119</v>
      </c>
      <c r="B39" s="9">
        <f>43234511.73/1000000</f>
        <v>43.234511729999994</v>
      </c>
      <c r="C39" s="11">
        <f>17850000/1000000</f>
        <v>17.850000000000001</v>
      </c>
      <c r="D39" s="138"/>
      <c r="E39" s="138"/>
      <c r="F39" s="123"/>
      <c r="G39" s="73">
        <f>5086050.45/1000000</f>
        <v>5.0860504500000001</v>
      </c>
      <c r="H39" s="123"/>
      <c r="I39" s="47" t="s">
        <v>3</v>
      </c>
      <c r="J39" s="61"/>
      <c r="K39" s="62" t="s">
        <v>3</v>
      </c>
      <c r="L39" s="61"/>
      <c r="M39" s="59">
        <f t="shared" si="0"/>
        <v>66.17056217999999</v>
      </c>
      <c r="N39" s="20"/>
    </row>
    <row r="40" spans="1:14" x14ac:dyDescent="0.25">
      <c r="A40" s="105">
        <v>44131</v>
      </c>
      <c r="B40" s="25">
        <f>28321954.24/1000000</f>
        <v>28.321954239999997</v>
      </c>
      <c r="C40" s="29">
        <f>50000/1000000</f>
        <v>0.05</v>
      </c>
      <c r="D40" s="168"/>
      <c r="E40" s="168"/>
      <c r="F40" s="124"/>
      <c r="G40" s="75">
        <f>3113449.74/1000000</f>
        <v>3.1134497400000001</v>
      </c>
      <c r="H40" s="124"/>
      <c r="I40" s="48" t="s">
        <v>3</v>
      </c>
      <c r="J40" s="135"/>
      <c r="K40" s="62" t="s">
        <v>3</v>
      </c>
      <c r="L40" s="61"/>
      <c r="M40" s="59">
        <f t="shared" si="0"/>
        <v>31.485403979999997</v>
      </c>
      <c r="N40" s="20"/>
    </row>
    <row r="41" spans="1:14" x14ac:dyDescent="0.25">
      <c r="A41" s="105">
        <v>44144</v>
      </c>
      <c r="B41" s="9" t="s">
        <v>3</v>
      </c>
      <c r="C41" s="11" t="s">
        <v>3</v>
      </c>
      <c r="D41" s="138"/>
      <c r="E41" s="138"/>
      <c r="F41" s="123"/>
      <c r="G41" s="73" t="s">
        <v>3</v>
      </c>
      <c r="H41" s="123"/>
      <c r="I41" s="47">
        <f>171873.82/1000000</f>
        <v>0.17187382000000001</v>
      </c>
      <c r="J41" s="61"/>
      <c r="K41" s="63">
        <f>863252.68/1000000</f>
        <v>0.86325268000000011</v>
      </c>
      <c r="L41" s="61"/>
      <c r="M41" s="59">
        <f t="shared" si="0"/>
        <v>1.0351265000000001</v>
      </c>
      <c r="N41" s="20"/>
    </row>
    <row r="42" spans="1:14" x14ac:dyDescent="0.25">
      <c r="A42" s="105">
        <v>44147</v>
      </c>
      <c r="B42" s="9" t="s">
        <v>3</v>
      </c>
      <c r="C42" s="11" t="s">
        <v>3</v>
      </c>
      <c r="D42" s="138"/>
      <c r="E42" s="138"/>
      <c r="F42" s="123"/>
      <c r="G42" s="73" t="s">
        <v>3</v>
      </c>
      <c r="H42" s="123"/>
      <c r="I42" s="47" t="s">
        <v>3</v>
      </c>
      <c r="J42" s="61"/>
      <c r="K42" s="62" t="s">
        <v>3</v>
      </c>
      <c r="L42" s="54">
        <v>93</v>
      </c>
      <c r="M42" s="59">
        <f t="shared" si="0"/>
        <v>93</v>
      </c>
      <c r="N42" s="20"/>
    </row>
    <row r="43" spans="1:14" x14ac:dyDescent="0.25">
      <c r="A43" s="105">
        <v>44151</v>
      </c>
      <c r="B43" s="9">
        <f>3048812/1000000</f>
        <v>3.0488119999999999</v>
      </c>
      <c r="C43" s="101">
        <f>-9550000/1000000</f>
        <v>-9.5500000000000007</v>
      </c>
      <c r="D43" s="138"/>
      <c r="E43" s="138"/>
      <c r="F43" s="123"/>
      <c r="G43" s="92">
        <f>-8463084.74/1000000</f>
        <v>-8.4630847400000011</v>
      </c>
      <c r="H43" s="143"/>
      <c r="I43" s="47" t="s">
        <v>3</v>
      </c>
      <c r="J43" s="61"/>
      <c r="K43" s="62" t="s">
        <v>3</v>
      </c>
      <c r="L43" s="61"/>
      <c r="M43" s="119">
        <f>SUM(B43:L43)</f>
        <v>-14.964272740000002</v>
      </c>
      <c r="N43" s="20"/>
    </row>
    <row r="44" spans="1:14" x14ac:dyDescent="0.25">
      <c r="A44" s="105">
        <v>44169</v>
      </c>
      <c r="B44" s="9" t="s">
        <v>3</v>
      </c>
      <c r="C44" s="11" t="s">
        <v>3</v>
      </c>
      <c r="D44" s="164">
        <v>133</v>
      </c>
      <c r="E44" s="138"/>
      <c r="F44" s="123"/>
      <c r="G44" s="9" t="s">
        <v>3</v>
      </c>
      <c r="H44" s="79">
        <f>16500000/1000000</f>
        <v>16.5</v>
      </c>
      <c r="I44" s="47"/>
      <c r="J44" s="61"/>
      <c r="K44" s="62" t="s">
        <v>3</v>
      </c>
      <c r="L44" s="61"/>
      <c r="M44" s="120">
        <f t="shared" ref="M44:M102" si="1">SUM(B44:L44)</f>
        <v>149.5</v>
      </c>
      <c r="N44" s="20"/>
    </row>
    <row r="45" spans="1:14" x14ac:dyDescent="0.25">
      <c r="A45" s="105">
        <v>44173</v>
      </c>
      <c r="B45" s="9" t="s">
        <v>3</v>
      </c>
      <c r="C45" s="11" t="s">
        <v>3</v>
      </c>
      <c r="D45" s="11" t="s">
        <v>3</v>
      </c>
      <c r="E45" s="138"/>
      <c r="F45" s="123"/>
      <c r="G45" s="9" t="s">
        <v>3</v>
      </c>
      <c r="H45" s="79" t="s">
        <v>3</v>
      </c>
      <c r="I45" s="47">
        <f>188384.91/1000000</f>
        <v>0.18838491000000002</v>
      </c>
      <c r="J45" s="61"/>
      <c r="K45" s="63">
        <f>1086923.04/1000000</f>
        <v>1.0869230400000001</v>
      </c>
      <c r="L45" s="61"/>
      <c r="M45" s="120">
        <f t="shared" si="1"/>
        <v>1.2753079500000002</v>
      </c>
      <c r="N45" s="20"/>
    </row>
    <row r="46" spans="1:14" x14ac:dyDescent="0.25">
      <c r="A46" s="105">
        <v>44180</v>
      </c>
      <c r="B46" s="9">
        <f>3773393.12/1000000</f>
        <v>3.7733931200000002</v>
      </c>
      <c r="C46" s="11">
        <f>74650000/1000000</f>
        <v>74.650000000000006</v>
      </c>
      <c r="D46" s="11">
        <v>301.73121906</v>
      </c>
      <c r="E46" s="138"/>
      <c r="F46" s="123"/>
      <c r="G46" s="117">
        <f>-320700.38/1000000</f>
        <v>-0.32070038000000001</v>
      </c>
      <c r="H46" s="79">
        <f>21447516.34/1000000</f>
        <v>21.44751634</v>
      </c>
      <c r="I46" s="47" t="s">
        <v>3</v>
      </c>
      <c r="J46" s="61"/>
      <c r="K46" s="62" t="s">
        <v>3</v>
      </c>
      <c r="L46" s="61"/>
      <c r="M46" s="120">
        <f t="shared" si="1"/>
        <v>401.28142814</v>
      </c>
      <c r="N46" s="20"/>
    </row>
    <row r="47" spans="1:14" x14ac:dyDescent="0.25">
      <c r="A47" s="105">
        <v>44181</v>
      </c>
      <c r="B47" s="9" t="s">
        <v>3</v>
      </c>
      <c r="C47" s="11" t="s">
        <v>3</v>
      </c>
      <c r="D47" s="11" t="s">
        <v>3</v>
      </c>
      <c r="E47" s="138"/>
      <c r="F47" s="123"/>
      <c r="G47" s="9" t="s">
        <v>3</v>
      </c>
      <c r="H47" s="79" t="s">
        <v>3</v>
      </c>
      <c r="I47" s="47" t="s">
        <v>3</v>
      </c>
      <c r="J47" s="47">
        <f>491400000/1000000</f>
        <v>491.4</v>
      </c>
      <c r="K47" s="62" t="s">
        <v>3</v>
      </c>
      <c r="L47" s="61"/>
      <c r="M47" s="120">
        <f t="shared" si="1"/>
        <v>491.4</v>
      </c>
      <c r="N47" s="20"/>
    </row>
    <row r="48" spans="1:14" x14ac:dyDescent="0.25">
      <c r="A48" s="197" t="s">
        <v>71</v>
      </c>
      <c r="B48" s="198">
        <f>SUM(B13:B47)</f>
        <v>8975.6952769400032</v>
      </c>
      <c r="C48" s="199">
        <f t="shared" ref="C48:E48" si="2">SUM(C13:C47)</f>
        <v>700.59999999999991</v>
      </c>
      <c r="D48" s="199">
        <f t="shared" si="2"/>
        <v>434.73121906</v>
      </c>
      <c r="E48" s="199">
        <f t="shared" si="2"/>
        <v>0</v>
      </c>
      <c r="F48" s="200">
        <f t="shared" ref="F48" si="3">SUM(F13:F47)</f>
        <v>0</v>
      </c>
      <c r="G48" s="198">
        <f t="shared" ref="G48:H48" si="4">SUM(G13:G47)</f>
        <v>334.8327845</v>
      </c>
      <c r="H48" s="200">
        <f t="shared" si="4"/>
        <v>37.94751634</v>
      </c>
      <c r="I48" s="201">
        <f t="shared" ref="I48" si="5">SUM(I13:I47)</f>
        <v>814.41720031</v>
      </c>
      <c r="J48" s="201">
        <f t="shared" ref="J48:K48" si="6">SUM(J13:J47)</f>
        <v>491.4</v>
      </c>
      <c r="K48" s="202">
        <f t="shared" si="6"/>
        <v>6.6416728599999999</v>
      </c>
      <c r="L48" s="202">
        <f>SUM(L13:L47)</f>
        <v>93</v>
      </c>
      <c r="M48" s="203">
        <f>SUM(M13:M47)</f>
        <v>11889.265670010001</v>
      </c>
      <c r="N48" s="20"/>
    </row>
    <row r="49" spans="1:14" x14ac:dyDescent="0.25">
      <c r="A49" s="105">
        <v>44200</v>
      </c>
      <c r="B49" s="9" t="s">
        <v>3</v>
      </c>
      <c r="C49" s="11" t="s">
        <v>3</v>
      </c>
      <c r="D49" s="11">
        <v>380.51746132</v>
      </c>
      <c r="E49" s="138"/>
      <c r="F49" s="123"/>
      <c r="G49" s="9" t="s">
        <v>3</v>
      </c>
      <c r="H49" s="79">
        <f>16342984.39/1000000</f>
        <v>16.342984390000002</v>
      </c>
      <c r="I49" s="47" t="s">
        <v>3</v>
      </c>
      <c r="J49" s="47" t="s">
        <v>3</v>
      </c>
      <c r="K49" s="62" t="s">
        <v>3</v>
      </c>
      <c r="L49" s="61"/>
      <c r="M49" s="120">
        <f t="shared" si="1"/>
        <v>396.86044571000002</v>
      </c>
      <c r="N49" s="20"/>
    </row>
    <row r="50" spans="1:14" x14ac:dyDescent="0.25">
      <c r="A50" s="105">
        <v>44204</v>
      </c>
      <c r="B50" s="102">
        <f>-8469913.42/1000000</f>
        <v>-8.4699134199999992</v>
      </c>
      <c r="C50" s="44">
        <f>-15500000/1000000</f>
        <v>-15.5</v>
      </c>
      <c r="D50" s="11" t="s">
        <v>3</v>
      </c>
      <c r="E50" s="138"/>
      <c r="F50" s="123"/>
      <c r="G50" s="117">
        <f>54315.5/1000000</f>
        <v>5.4315500000000003E-2</v>
      </c>
      <c r="H50" s="79" t="s">
        <v>3</v>
      </c>
      <c r="I50" s="47">
        <f>38267.28/1000000</f>
        <v>3.8267280000000001E-2</v>
      </c>
      <c r="J50" s="47" t="s">
        <v>3</v>
      </c>
      <c r="K50" s="63">
        <f>520879.29/1000000</f>
        <v>0.52087928999999999</v>
      </c>
      <c r="L50" s="61"/>
      <c r="M50" s="119">
        <f t="shared" si="1"/>
        <v>-23.356451349999997</v>
      </c>
      <c r="N50" s="20"/>
    </row>
    <row r="51" spans="1:14" x14ac:dyDescent="0.25">
      <c r="A51" s="105">
        <v>44211</v>
      </c>
      <c r="B51" s="9" t="s">
        <v>3</v>
      </c>
      <c r="C51" s="11" t="s">
        <v>3</v>
      </c>
      <c r="D51" s="169">
        <v>453.07982510000005</v>
      </c>
      <c r="E51" s="179"/>
      <c r="F51" s="171"/>
      <c r="G51" s="9" t="s">
        <v>3</v>
      </c>
      <c r="H51" s="79">
        <f>11534894.7/1000000</f>
        <v>11.534894699999999</v>
      </c>
      <c r="I51" s="47" t="s">
        <v>3</v>
      </c>
      <c r="J51" s="47" t="s">
        <v>3</v>
      </c>
      <c r="K51" s="62" t="s">
        <v>3</v>
      </c>
      <c r="L51" s="61"/>
      <c r="M51" s="120">
        <f t="shared" si="1"/>
        <v>464.61471980000005</v>
      </c>
      <c r="N51" s="20"/>
    </row>
    <row r="52" spans="1:14" x14ac:dyDescent="0.25">
      <c r="A52" s="105">
        <v>44228</v>
      </c>
      <c r="B52" s="9" t="s">
        <v>3</v>
      </c>
      <c r="C52" s="11" t="s">
        <v>3</v>
      </c>
      <c r="D52" s="169">
        <v>550.19596496999998</v>
      </c>
      <c r="E52" s="179"/>
      <c r="F52" s="171"/>
      <c r="G52" s="9" t="s">
        <v>3</v>
      </c>
      <c r="H52" s="79">
        <f>40320598.94/1000000</f>
        <v>40.320598939999996</v>
      </c>
      <c r="I52" s="47" t="s">
        <v>3</v>
      </c>
      <c r="J52" s="47" t="s">
        <v>3</v>
      </c>
      <c r="K52" s="62" t="s">
        <v>3</v>
      </c>
      <c r="L52" s="61"/>
      <c r="M52" s="120">
        <f t="shared" si="1"/>
        <v>590.51656390999995</v>
      </c>
      <c r="N52" s="20"/>
    </row>
    <row r="53" spans="1:14" x14ac:dyDescent="0.25">
      <c r="A53" s="105">
        <v>44235</v>
      </c>
      <c r="B53" s="102">
        <f>-1109478.15/1000000</f>
        <v>-1.1094781499999999</v>
      </c>
      <c r="C53" s="11">
        <f>1000000/1000000</f>
        <v>1</v>
      </c>
      <c r="D53" s="11" t="s">
        <v>3</v>
      </c>
      <c r="E53" s="138"/>
      <c r="F53" s="123"/>
      <c r="G53" s="117">
        <f>-2329994/1000000</f>
        <v>-2.3299940000000001</v>
      </c>
      <c r="H53" s="79" t="s">
        <v>3</v>
      </c>
      <c r="I53" s="47">
        <f>27222.95/1000000</f>
        <v>2.7222949999999999E-2</v>
      </c>
      <c r="J53" s="47">
        <f>4237114/1000000</f>
        <v>4.237114</v>
      </c>
      <c r="K53" s="48">
        <f>265048/1000000</f>
        <v>0.26504800000000001</v>
      </c>
      <c r="L53" s="135"/>
      <c r="M53" s="120">
        <f t="shared" si="1"/>
        <v>2.0899128</v>
      </c>
      <c r="N53" s="20"/>
    </row>
    <row r="54" spans="1:14" x14ac:dyDescent="0.25">
      <c r="A54" s="105">
        <v>44242</v>
      </c>
      <c r="B54" s="9" t="s">
        <v>3</v>
      </c>
      <c r="C54" s="11" t="s">
        <v>3</v>
      </c>
      <c r="D54" s="169">
        <v>820.43184334</v>
      </c>
      <c r="E54" s="179"/>
      <c r="F54" s="171"/>
      <c r="G54" s="9" t="s">
        <v>3</v>
      </c>
      <c r="H54" s="79">
        <f>31787652.29/1000000</f>
        <v>31.78765229</v>
      </c>
      <c r="I54" s="47" t="s">
        <v>3</v>
      </c>
      <c r="J54" s="47">
        <f>160170226/1000000</f>
        <v>160.17022600000001</v>
      </c>
      <c r="K54" s="63" t="s">
        <v>3</v>
      </c>
      <c r="L54" s="135"/>
      <c r="M54" s="120">
        <f t="shared" si="1"/>
        <v>1012.3897216299999</v>
      </c>
      <c r="N54" s="20"/>
    </row>
    <row r="55" spans="1:14" x14ac:dyDescent="0.25">
      <c r="A55" s="105">
        <v>44250</v>
      </c>
      <c r="B55" s="9" t="s">
        <v>3</v>
      </c>
      <c r="C55" s="11" t="s">
        <v>3</v>
      </c>
      <c r="D55" s="11" t="s">
        <v>3</v>
      </c>
      <c r="E55" s="138"/>
      <c r="F55" s="123"/>
      <c r="G55" s="9" t="s">
        <v>3</v>
      </c>
      <c r="H55" s="79" t="s">
        <v>3</v>
      </c>
      <c r="I55" s="47" t="s">
        <v>3</v>
      </c>
      <c r="J55" s="47">
        <f>232037760/1000000</f>
        <v>232.03775999999999</v>
      </c>
      <c r="K55" s="63" t="s">
        <v>3</v>
      </c>
      <c r="L55" s="135"/>
      <c r="M55" s="120">
        <f t="shared" si="1"/>
        <v>232.03775999999999</v>
      </c>
      <c r="N55" s="20"/>
    </row>
    <row r="56" spans="1:14" x14ac:dyDescent="0.25">
      <c r="A56" s="105">
        <v>44256</v>
      </c>
      <c r="B56" s="9" t="s">
        <v>3</v>
      </c>
      <c r="C56" s="11" t="s">
        <v>3</v>
      </c>
      <c r="D56" s="169">
        <v>549.35723629999995</v>
      </c>
      <c r="E56" s="179"/>
      <c r="F56" s="171"/>
      <c r="G56" s="9" t="s">
        <v>3</v>
      </c>
      <c r="H56" s="79">
        <f>23517804.12/1000000</f>
        <v>23.517804120000001</v>
      </c>
      <c r="I56" s="47" t="s">
        <v>3</v>
      </c>
      <c r="J56" s="47" t="s">
        <v>3</v>
      </c>
      <c r="K56" s="63" t="s">
        <v>3</v>
      </c>
      <c r="L56" s="135"/>
      <c r="M56" s="120">
        <f t="shared" si="1"/>
        <v>572.87504042</v>
      </c>
      <c r="N56" s="20"/>
    </row>
    <row r="57" spans="1:14" x14ac:dyDescent="0.25">
      <c r="A57" s="105">
        <v>44263</v>
      </c>
      <c r="B57" s="102">
        <f>-2620704.8/1000000</f>
        <v>-2.6207047999999999</v>
      </c>
      <c r="C57" s="11">
        <v>0</v>
      </c>
      <c r="D57" s="11" t="s">
        <v>3</v>
      </c>
      <c r="E57" s="138"/>
      <c r="F57" s="123"/>
      <c r="G57" s="117">
        <f>-197954.45/1000000</f>
        <v>-0.19795445</v>
      </c>
      <c r="H57" s="79" t="s">
        <v>3</v>
      </c>
      <c r="I57" s="47">
        <f>90227.14/1000000</f>
        <v>9.0227139999999997E-2</v>
      </c>
      <c r="J57" s="47">
        <f>8769221.4/1000000</f>
        <v>8.7692214000000011</v>
      </c>
      <c r="K57" s="47">
        <f>369636.48/1000000</f>
        <v>0.36963647999999999</v>
      </c>
      <c r="L57" s="135"/>
      <c r="M57" s="120">
        <f t="shared" si="1"/>
        <v>6.4104257700000007</v>
      </c>
      <c r="N57" s="20"/>
    </row>
    <row r="58" spans="1:14" x14ac:dyDescent="0.25">
      <c r="A58" s="105">
        <v>44270</v>
      </c>
      <c r="B58" s="9" t="s">
        <v>3</v>
      </c>
      <c r="C58" s="11" t="s">
        <v>3</v>
      </c>
      <c r="D58" s="169">
        <v>253.75325447999998</v>
      </c>
      <c r="E58" s="179"/>
      <c r="F58" s="171"/>
      <c r="G58" s="73" t="s">
        <v>3</v>
      </c>
      <c r="H58" s="79">
        <f>11119346.71/1000000</f>
        <v>11.11934671</v>
      </c>
      <c r="I58" s="47" t="s">
        <v>3</v>
      </c>
      <c r="J58" s="47">
        <f>343831087.2/1000000</f>
        <v>343.83108720000001</v>
      </c>
      <c r="K58" s="63" t="s">
        <v>3</v>
      </c>
      <c r="L58" s="135"/>
      <c r="M58" s="120">
        <f t="shared" si="1"/>
        <v>608.70368839000002</v>
      </c>
      <c r="N58" s="20"/>
    </row>
    <row r="59" spans="1:14" x14ac:dyDescent="0.25">
      <c r="A59" s="105">
        <v>44281</v>
      </c>
      <c r="B59" s="9" t="s">
        <v>3</v>
      </c>
      <c r="C59" s="11" t="s">
        <v>3</v>
      </c>
      <c r="D59" s="11" t="s">
        <v>3</v>
      </c>
      <c r="E59" s="138"/>
      <c r="F59" s="123"/>
      <c r="G59" s="9" t="s">
        <v>3</v>
      </c>
      <c r="H59" s="79" t="s">
        <v>3</v>
      </c>
      <c r="I59" s="47" t="s">
        <v>3</v>
      </c>
      <c r="J59" s="47">
        <f>520343017.4/1000000</f>
        <v>520.34301740000001</v>
      </c>
      <c r="K59" s="63" t="s">
        <v>3</v>
      </c>
      <c r="L59" s="135"/>
      <c r="M59" s="120">
        <f t="shared" si="1"/>
        <v>520.34301740000001</v>
      </c>
      <c r="N59" s="20"/>
    </row>
    <row r="60" spans="1:14" x14ac:dyDescent="0.25">
      <c r="A60" s="105">
        <v>44287</v>
      </c>
      <c r="B60" s="9" t="s">
        <v>3</v>
      </c>
      <c r="C60" s="11" t="s">
        <v>3</v>
      </c>
      <c r="D60" s="169">
        <v>287.18041948000001</v>
      </c>
      <c r="E60" s="179"/>
      <c r="F60" s="171"/>
      <c r="G60" s="9" t="s">
        <v>3</v>
      </c>
      <c r="H60" s="79">
        <f>29685318.94/1000000</f>
        <v>29.685318940000002</v>
      </c>
      <c r="I60" s="47" t="s">
        <v>3</v>
      </c>
      <c r="J60" s="47" t="s">
        <v>3</v>
      </c>
      <c r="K60" s="63" t="s">
        <v>3</v>
      </c>
      <c r="L60" s="135"/>
      <c r="M60" s="120">
        <f t="shared" si="1"/>
        <v>316.86573842000001</v>
      </c>
      <c r="N60" s="20"/>
    </row>
    <row r="61" spans="1:14" x14ac:dyDescent="0.25">
      <c r="A61" s="105">
        <v>44294</v>
      </c>
      <c r="B61" s="102">
        <f>-1644296.92/1000000</f>
        <v>-1.6442969199999999</v>
      </c>
      <c r="C61" s="11">
        <v>0</v>
      </c>
      <c r="D61" s="11" t="s">
        <v>3</v>
      </c>
      <c r="E61" s="138"/>
      <c r="F61" s="123"/>
      <c r="G61" s="9">
        <f>435219.78/1000000</f>
        <v>0.43521978</v>
      </c>
      <c r="H61" s="79" t="s">
        <v>3</v>
      </c>
      <c r="I61" s="47" t="s">
        <v>3</v>
      </c>
      <c r="J61" s="47">
        <f>2618377.8/1000000</f>
        <v>2.6183777999999998</v>
      </c>
      <c r="K61" s="47">
        <f>149591.32/1000000</f>
        <v>0.14959132</v>
      </c>
      <c r="L61" s="135"/>
      <c r="M61" s="120">
        <f t="shared" si="1"/>
        <v>1.5588919799999998</v>
      </c>
      <c r="N61" s="20"/>
    </row>
    <row r="62" spans="1:14" x14ac:dyDescent="0.25">
      <c r="A62" s="105">
        <v>44300</v>
      </c>
      <c r="B62" s="9" t="s">
        <v>3</v>
      </c>
      <c r="C62" s="11" t="s">
        <v>3</v>
      </c>
      <c r="D62" s="11" t="s">
        <v>3</v>
      </c>
      <c r="E62" s="138"/>
      <c r="F62" s="123"/>
      <c r="G62" s="9" t="s">
        <v>3</v>
      </c>
      <c r="H62" s="79" t="s">
        <v>3</v>
      </c>
      <c r="I62" s="47" t="s">
        <v>3</v>
      </c>
      <c r="J62" s="47" t="s">
        <v>3</v>
      </c>
      <c r="K62" s="63" t="s">
        <v>3</v>
      </c>
      <c r="L62" s="63">
        <f>450000000/1000000</f>
        <v>450</v>
      </c>
      <c r="M62" s="120">
        <f t="shared" si="1"/>
        <v>450</v>
      </c>
      <c r="N62" s="20"/>
    </row>
    <row r="63" spans="1:14" x14ac:dyDescent="0.25">
      <c r="A63" s="105">
        <v>44301</v>
      </c>
      <c r="B63" s="9" t="s">
        <v>3</v>
      </c>
      <c r="C63" s="11" t="s">
        <v>3</v>
      </c>
      <c r="D63" s="11">
        <f>197617032.11/1000000</f>
        <v>197.61703211000003</v>
      </c>
      <c r="E63" s="138"/>
      <c r="F63" s="123"/>
      <c r="G63" s="9" t="s">
        <v>3</v>
      </c>
      <c r="H63" s="79">
        <f>2452645.21/1000000</f>
        <v>2.45264521</v>
      </c>
      <c r="I63" s="47" t="s">
        <v>3</v>
      </c>
      <c r="J63" s="47">
        <f>116542380/1000000</f>
        <v>116.54237999999999</v>
      </c>
      <c r="K63" s="63" t="s">
        <v>3</v>
      </c>
      <c r="L63" s="135"/>
      <c r="M63" s="120">
        <f t="shared" si="1"/>
        <v>316.61205732000002</v>
      </c>
      <c r="N63" s="20"/>
    </row>
    <row r="64" spans="1:14" x14ac:dyDescent="0.25">
      <c r="A64" s="105">
        <v>44313</v>
      </c>
      <c r="B64" s="9" t="s">
        <v>3</v>
      </c>
      <c r="C64" s="11" t="s">
        <v>3</v>
      </c>
      <c r="D64" s="11" t="s">
        <v>3</v>
      </c>
      <c r="E64" s="138"/>
      <c r="F64" s="123"/>
      <c r="G64" s="9" t="s">
        <v>3</v>
      </c>
      <c r="H64" s="79" t="s">
        <v>3</v>
      </c>
      <c r="I64" s="47" t="s">
        <v>3</v>
      </c>
      <c r="J64" s="47">
        <f>157022511.6/1000000</f>
        <v>157.0225116</v>
      </c>
      <c r="K64" s="63" t="s">
        <v>3</v>
      </c>
      <c r="L64" s="63">
        <f>58444162.24/1000000</f>
        <v>58.444162240000004</v>
      </c>
      <c r="M64" s="120">
        <f t="shared" si="1"/>
        <v>215.46667384</v>
      </c>
      <c r="N64" s="20"/>
    </row>
    <row r="65" spans="1:14" x14ac:dyDescent="0.25">
      <c r="A65" s="105">
        <v>44319</v>
      </c>
      <c r="B65" s="9" t="s">
        <v>3</v>
      </c>
      <c r="C65" s="11" t="s">
        <v>3</v>
      </c>
      <c r="D65" s="11">
        <f>744553717.55/1000000</f>
        <v>744.55371754999999</v>
      </c>
      <c r="E65" s="138"/>
      <c r="F65" s="123"/>
      <c r="G65" s="9" t="s">
        <v>3</v>
      </c>
      <c r="H65" s="79">
        <f>17676250.32/1000000</f>
        <v>17.676250320000001</v>
      </c>
      <c r="I65" s="47" t="s">
        <v>3</v>
      </c>
      <c r="J65" s="47" t="s">
        <v>3</v>
      </c>
      <c r="K65" s="63" t="s">
        <v>3</v>
      </c>
      <c r="L65" s="135"/>
      <c r="M65" s="120">
        <f t="shared" si="1"/>
        <v>762.22996787</v>
      </c>
      <c r="N65" s="20"/>
    </row>
    <row r="66" spans="1:14" x14ac:dyDescent="0.25">
      <c r="A66" s="105">
        <v>44326</v>
      </c>
      <c r="B66" s="9">
        <v>0</v>
      </c>
      <c r="C66" s="11">
        <v>0</v>
      </c>
      <c r="D66" s="11" t="s">
        <v>3</v>
      </c>
      <c r="E66" s="138"/>
      <c r="F66" s="123"/>
      <c r="G66" s="114">
        <f>(16051.63-20089410.7)/1000000</f>
        <v>-20.073359069999999</v>
      </c>
      <c r="H66" s="79" t="s">
        <v>3</v>
      </c>
      <c r="I66" s="47" t="s">
        <v>3</v>
      </c>
      <c r="J66" s="47">
        <f>462063.4/1000000</f>
        <v>0.46206340000000001</v>
      </c>
      <c r="K66" s="47">
        <f>175104.26/1000000</f>
        <v>0.17510426000000001</v>
      </c>
      <c r="L66" s="135"/>
      <c r="M66" s="119">
        <f t="shared" si="1"/>
        <v>-19.436191409999996</v>
      </c>
      <c r="N66" s="20"/>
    </row>
    <row r="67" spans="1:14" x14ac:dyDescent="0.25">
      <c r="A67" s="105">
        <v>44333</v>
      </c>
      <c r="B67" s="9" t="s">
        <v>3</v>
      </c>
      <c r="C67" s="11" t="s">
        <v>3</v>
      </c>
      <c r="D67" s="11">
        <f>227420477.73/1000000</f>
        <v>227.42047772999999</v>
      </c>
      <c r="E67" s="138"/>
      <c r="F67" s="123"/>
      <c r="G67" s="9" t="s">
        <v>3</v>
      </c>
      <c r="H67" s="79">
        <f>4169293.34/1000000</f>
        <v>4.1692933400000003</v>
      </c>
      <c r="I67" s="47" t="s">
        <v>3</v>
      </c>
      <c r="J67" s="47">
        <f>(24175808.2-1949476.8)/1000000</f>
        <v>22.226331399999999</v>
      </c>
      <c r="K67" s="63" t="s">
        <v>3</v>
      </c>
      <c r="L67" s="135"/>
      <c r="M67" s="120">
        <f t="shared" si="1"/>
        <v>253.81610246999998</v>
      </c>
      <c r="N67" s="20"/>
    </row>
    <row r="68" spans="1:14" x14ac:dyDescent="0.25">
      <c r="A68" s="105">
        <v>44342</v>
      </c>
      <c r="B68" s="9" t="s">
        <v>3</v>
      </c>
      <c r="C68" s="11" t="s">
        <v>3</v>
      </c>
      <c r="D68" s="11" t="s">
        <v>3</v>
      </c>
      <c r="E68" s="138"/>
      <c r="F68" s="123"/>
      <c r="G68" s="9" t="s">
        <v>3</v>
      </c>
      <c r="H68" s="79" t="s">
        <v>3</v>
      </c>
      <c r="I68" s="47" t="s">
        <v>3</v>
      </c>
      <c r="J68" s="47">
        <f>38940618.8/1000000</f>
        <v>38.940618799999996</v>
      </c>
      <c r="K68" s="63" t="s">
        <v>3</v>
      </c>
      <c r="L68" s="135"/>
      <c r="M68" s="120">
        <f t="shared" si="1"/>
        <v>38.940618799999996</v>
      </c>
      <c r="N68" s="20"/>
    </row>
    <row r="69" spans="1:14" x14ac:dyDescent="0.25">
      <c r="A69" s="105">
        <v>44348</v>
      </c>
      <c r="B69" s="9" t="s">
        <v>3</v>
      </c>
      <c r="C69" s="11" t="s">
        <v>3</v>
      </c>
      <c r="D69" s="11">
        <f>182116018.95/1000000</f>
        <v>182.11601894999998</v>
      </c>
      <c r="E69" s="138"/>
      <c r="F69" s="123"/>
      <c r="G69" s="9" t="s">
        <v>3</v>
      </c>
      <c r="H69" s="79">
        <f>3241647.1/1000000</f>
        <v>3.2416471000000002</v>
      </c>
      <c r="I69" s="47" t="s">
        <v>3</v>
      </c>
      <c r="J69" s="47">
        <f>19834938.6/1000000</f>
        <v>19.834938600000001</v>
      </c>
      <c r="K69" s="63" t="s">
        <v>3</v>
      </c>
      <c r="L69" s="135"/>
      <c r="M69" s="120">
        <f t="shared" si="1"/>
        <v>205.19260464999996</v>
      </c>
      <c r="N69" s="20"/>
    </row>
    <row r="70" spans="1:14" x14ac:dyDescent="0.25">
      <c r="A70" s="105">
        <v>44355</v>
      </c>
      <c r="B70" s="102">
        <f>-2662643.2/1000000</f>
        <v>-2.6626432000000002</v>
      </c>
      <c r="C70" s="11">
        <v>0</v>
      </c>
      <c r="D70" s="11" t="s">
        <v>3</v>
      </c>
      <c r="E70" s="180"/>
      <c r="F70" s="172"/>
      <c r="G70" s="9">
        <f>(68856.63-15904.36)/1000000</f>
        <v>5.2952270000000003E-2</v>
      </c>
      <c r="H70" s="79" t="s">
        <v>3</v>
      </c>
      <c r="I70" s="49">
        <f>-64862.89/1000000</f>
        <v>-6.4862889999999992E-2</v>
      </c>
      <c r="J70" s="47">
        <f>33523.8/1000000</f>
        <v>3.3523800000000006E-2</v>
      </c>
      <c r="K70" s="47">
        <f>89294.34/1000000</f>
        <v>8.929434E-2</v>
      </c>
      <c r="L70" s="135"/>
      <c r="M70" s="118">
        <f t="shared" si="1"/>
        <v>-2.5517356800000002</v>
      </c>
      <c r="N70" s="20"/>
    </row>
    <row r="71" spans="1:14" x14ac:dyDescent="0.25">
      <c r="A71" s="105">
        <v>44362</v>
      </c>
      <c r="B71" s="9" t="s">
        <v>3</v>
      </c>
      <c r="C71" s="11" t="s">
        <v>3</v>
      </c>
      <c r="D71" s="11">
        <f>371574173.17/1000000</f>
        <v>371.57417316999999</v>
      </c>
      <c r="E71" s="138"/>
      <c r="F71" s="123"/>
      <c r="G71" s="9" t="s">
        <v>3</v>
      </c>
      <c r="H71" s="79">
        <f>14858397.76/1000000</f>
        <v>14.858397759999999</v>
      </c>
      <c r="I71" s="47" t="s">
        <v>3</v>
      </c>
      <c r="J71" s="47">
        <f>556789.8/1000000</f>
        <v>0.5567898</v>
      </c>
      <c r="K71" s="63" t="s">
        <v>3</v>
      </c>
      <c r="L71" s="135"/>
      <c r="M71" s="120">
        <f t="shared" si="1"/>
        <v>386.98936072999999</v>
      </c>
      <c r="N71" s="20"/>
    </row>
    <row r="72" spans="1:14" x14ac:dyDescent="0.25">
      <c r="A72" s="105">
        <v>44372</v>
      </c>
      <c r="B72" s="9" t="s">
        <v>3</v>
      </c>
      <c r="C72" s="11" t="s">
        <v>3</v>
      </c>
      <c r="D72" s="11" t="s">
        <v>3</v>
      </c>
      <c r="E72" s="180"/>
      <c r="F72" s="172"/>
      <c r="G72" s="9" t="s">
        <v>3</v>
      </c>
      <c r="H72" s="79" t="s">
        <v>3</v>
      </c>
      <c r="I72" s="47" t="s">
        <v>3</v>
      </c>
      <c r="J72" s="47">
        <f>2169061/1000000+2265091.8/1000000</f>
        <v>4.4341527999999997</v>
      </c>
      <c r="K72" s="63" t="s">
        <v>3</v>
      </c>
      <c r="L72" s="135"/>
      <c r="M72" s="120">
        <f t="shared" si="1"/>
        <v>4.4341527999999997</v>
      </c>
      <c r="N72" s="20"/>
    </row>
    <row r="73" spans="1:14" x14ac:dyDescent="0.25">
      <c r="A73" s="105">
        <v>44378</v>
      </c>
      <c r="B73" s="9" t="s">
        <v>3</v>
      </c>
      <c r="C73" s="11" t="s">
        <v>3</v>
      </c>
      <c r="D73" s="11">
        <f>202988350.73/1000000</f>
        <v>202.98835072999998</v>
      </c>
      <c r="E73" s="138"/>
      <c r="F73" s="123"/>
      <c r="G73" s="9" t="s">
        <v>3</v>
      </c>
      <c r="H73" s="79">
        <f>5134282.77/1000000</f>
        <v>5.1342827699999996</v>
      </c>
      <c r="I73" s="47" t="s">
        <v>3</v>
      </c>
      <c r="J73" s="47" t="s">
        <v>3</v>
      </c>
      <c r="K73" s="63" t="s">
        <v>3</v>
      </c>
      <c r="L73" s="135"/>
      <c r="M73" s="120">
        <f t="shared" si="1"/>
        <v>208.12263349999998</v>
      </c>
      <c r="N73" s="20"/>
    </row>
    <row r="74" spans="1:14" x14ac:dyDescent="0.25">
      <c r="A74" s="105">
        <v>44385</v>
      </c>
      <c r="B74" s="126">
        <f>-50000000/1000000</f>
        <v>-50</v>
      </c>
      <c r="C74" s="11">
        <v>0</v>
      </c>
      <c r="D74" s="11" t="s">
        <v>3</v>
      </c>
      <c r="E74" s="180"/>
      <c r="F74" s="172"/>
      <c r="G74" s="114">
        <f>-5160.35/1000000</f>
        <v>-5.1603500000000002E-3</v>
      </c>
      <c r="H74" s="107" t="s">
        <v>3</v>
      </c>
      <c r="I74" s="47" t="s">
        <v>3</v>
      </c>
      <c r="J74" s="47" t="s">
        <v>3</v>
      </c>
      <c r="K74" s="160">
        <f>(64911.59-95710.29)/1000000</f>
        <v>-3.0798699999999998E-2</v>
      </c>
      <c r="L74" s="135"/>
      <c r="M74" s="119">
        <f t="shared" si="1"/>
        <v>-50.035959049999995</v>
      </c>
      <c r="N74" s="20"/>
    </row>
    <row r="75" spans="1:14" x14ac:dyDescent="0.25">
      <c r="A75" s="105">
        <v>44392</v>
      </c>
      <c r="B75" s="9" t="s">
        <v>3</v>
      </c>
      <c r="C75" s="11" t="s">
        <v>3</v>
      </c>
      <c r="D75" s="11">
        <f>38939644.92/1000000</f>
        <v>38.939644919999999</v>
      </c>
      <c r="E75" s="138"/>
      <c r="F75" s="123"/>
      <c r="G75" s="9" t="s">
        <v>3</v>
      </c>
      <c r="H75" s="79">
        <f>5695733.79/1000000</f>
        <v>5.6957337900000002</v>
      </c>
      <c r="I75" s="47" t="s">
        <v>3</v>
      </c>
      <c r="J75" s="47" t="s">
        <v>3</v>
      </c>
      <c r="K75" s="63" t="s">
        <v>3</v>
      </c>
      <c r="L75" s="135"/>
      <c r="M75" s="120">
        <f t="shared" si="1"/>
        <v>44.635378709999998</v>
      </c>
      <c r="N75" s="20"/>
    </row>
    <row r="76" spans="1:14" x14ac:dyDescent="0.25">
      <c r="A76" s="105">
        <v>44404</v>
      </c>
      <c r="B76" s="114" t="s">
        <v>3</v>
      </c>
      <c r="C76" s="11" t="s">
        <v>3</v>
      </c>
      <c r="D76" s="44" t="s">
        <v>3</v>
      </c>
      <c r="E76" s="181"/>
      <c r="F76" s="173"/>
      <c r="G76" s="9" t="s">
        <v>3</v>
      </c>
      <c r="H76" s="107" t="s">
        <v>3</v>
      </c>
      <c r="I76" s="47" t="s">
        <v>3</v>
      </c>
      <c r="J76" s="47" t="s">
        <v>3</v>
      </c>
      <c r="K76" s="63" t="s">
        <v>3</v>
      </c>
      <c r="L76" s="63">
        <v>190</v>
      </c>
      <c r="M76" s="120">
        <f t="shared" si="1"/>
        <v>190</v>
      </c>
      <c r="N76" s="20"/>
    </row>
    <row r="77" spans="1:14" x14ac:dyDescent="0.25">
      <c r="A77" s="105">
        <v>44417</v>
      </c>
      <c r="B77" s="114" t="s">
        <v>3</v>
      </c>
      <c r="C77" s="11" t="s">
        <v>3</v>
      </c>
      <c r="D77" s="44" t="s">
        <v>3</v>
      </c>
      <c r="E77" s="181"/>
      <c r="F77" s="173"/>
      <c r="G77" s="9"/>
      <c r="H77" s="107"/>
      <c r="I77" s="47"/>
      <c r="J77" s="47"/>
      <c r="K77" s="47">
        <f>23072.03/1000000</f>
        <v>2.307203E-2</v>
      </c>
      <c r="L77" s="135"/>
      <c r="M77" s="120">
        <f t="shared" si="1"/>
        <v>2.307203E-2</v>
      </c>
      <c r="N77" s="20"/>
    </row>
    <row r="78" spans="1:14" x14ac:dyDescent="0.25">
      <c r="A78" s="105">
        <v>44424</v>
      </c>
      <c r="B78" s="114" t="s">
        <v>3</v>
      </c>
      <c r="C78" s="11" t="s">
        <v>3</v>
      </c>
      <c r="D78" s="101">
        <f>(10565835.76-68898986.64)/1000000</f>
        <v>-58.333150880000005</v>
      </c>
      <c r="E78" s="182"/>
      <c r="F78" s="143"/>
      <c r="G78" s="9" t="s">
        <v>3</v>
      </c>
      <c r="H78" s="112">
        <f>(930985.64-4005728.89)/1000000</f>
        <v>-3.07474325</v>
      </c>
      <c r="I78" s="47" t="s">
        <v>3</v>
      </c>
      <c r="J78" s="47" t="s">
        <v>3</v>
      </c>
      <c r="K78" s="63" t="s">
        <v>3</v>
      </c>
      <c r="L78" s="135"/>
      <c r="M78" s="119">
        <f t="shared" si="1"/>
        <v>-61.407894130000003</v>
      </c>
      <c r="N78" s="20"/>
    </row>
    <row r="79" spans="1:14" x14ac:dyDescent="0.25">
      <c r="A79" s="105">
        <v>44447</v>
      </c>
      <c r="B79" s="114" t="s">
        <v>3</v>
      </c>
      <c r="C79" s="11" t="s">
        <v>3</v>
      </c>
      <c r="D79" s="11" t="s">
        <v>3</v>
      </c>
      <c r="E79" s="138"/>
      <c r="F79" s="123"/>
      <c r="G79" s="9" t="s">
        <v>3</v>
      </c>
      <c r="H79" s="107" t="s">
        <v>3</v>
      </c>
      <c r="I79" s="85">
        <f>-189692.77/1000000</f>
        <v>-0.18969276999999998</v>
      </c>
      <c r="J79" s="47" t="s">
        <v>3</v>
      </c>
      <c r="K79" s="47">
        <f>41749.19/1000000</f>
        <v>4.1749190000000005E-2</v>
      </c>
      <c r="L79" s="122"/>
      <c r="M79" s="121">
        <f t="shared" si="1"/>
        <v>-0.14794357999999996</v>
      </c>
      <c r="N79" s="20"/>
    </row>
    <row r="80" spans="1:14" x14ac:dyDescent="0.25">
      <c r="A80" s="105">
        <v>44454</v>
      </c>
      <c r="B80" s="114" t="s">
        <v>3</v>
      </c>
      <c r="C80" s="11" t="s">
        <v>3</v>
      </c>
      <c r="D80" s="11">
        <f>215170.75/1000000</f>
        <v>0.21517074999999999</v>
      </c>
      <c r="E80" s="138"/>
      <c r="F80" s="123"/>
      <c r="G80" s="9" t="s">
        <v>3</v>
      </c>
      <c r="H80" s="112">
        <f>(46292.72-2794954.57)/1000000</f>
        <v>-2.7486618499999995</v>
      </c>
      <c r="I80" s="47" t="s">
        <v>3</v>
      </c>
      <c r="J80" s="47">
        <f>(244863.2-45557.6)/1000000</f>
        <v>0.1993056</v>
      </c>
      <c r="K80" s="63" t="s">
        <v>3</v>
      </c>
      <c r="L80" s="122"/>
      <c r="M80" s="188">
        <f t="shared" si="1"/>
        <v>-2.3341854999999994</v>
      </c>
      <c r="N80" s="20"/>
    </row>
    <row r="81" spans="1:14" x14ac:dyDescent="0.25">
      <c r="A81" s="105">
        <v>44477</v>
      </c>
      <c r="B81" s="115">
        <f>(-2462560.92+350000)/1000000</f>
        <v>-2.11256092</v>
      </c>
      <c r="C81" s="101">
        <f>-350000/1000000</f>
        <v>-0.35</v>
      </c>
      <c r="D81" s="170" t="s">
        <v>3</v>
      </c>
      <c r="E81" s="183"/>
      <c r="F81" s="174"/>
      <c r="G81" s="114">
        <f>(-112676.07+31181.38)/1000000</f>
        <v>-8.1494690000000009E-2</v>
      </c>
      <c r="H81" s="107" t="s">
        <v>3</v>
      </c>
      <c r="I81" s="47" t="s">
        <v>3</v>
      </c>
      <c r="J81" s="47" t="s">
        <v>3</v>
      </c>
      <c r="K81" s="47">
        <f>70693.54/1000000</f>
        <v>7.0693539999999999E-2</v>
      </c>
      <c r="L81" s="122"/>
      <c r="M81" s="188">
        <f t="shared" si="1"/>
        <v>-2.4733620699999999</v>
      </c>
      <c r="N81" s="20"/>
    </row>
    <row r="82" spans="1:14" x14ac:dyDescent="0.25">
      <c r="A82" s="105">
        <v>44484</v>
      </c>
      <c r="B82" s="128" t="s">
        <v>3</v>
      </c>
      <c r="C82" s="11" t="s">
        <v>3</v>
      </c>
      <c r="D82" s="11">
        <f>(3122379.82-260795.94)/1000000</f>
        <v>2.86158388</v>
      </c>
      <c r="E82" s="138"/>
      <c r="F82" s="123"/>
      <c r="G82" s="9" t="s">
        <v>3</v>
      </c>
      <c r="H82" s="112">
        <f>(105911.8-150208.97)/1000000</f>
        <v>-4.4297169999999997E-2</v>
      </c>
      <c r="I82" s="47" t="s">
        <v>3</v>
      </c>
      <c r="J82" s="47" t="s">
        <v>3</v>
      </c>
      <c r="K82" s="73" t="s">
        <v>3</v>
      </c>
      <c r="L82" s="122"/>
      <c r="M82" s="188">
        <f t="shared" si="1"/>
        <v>2.8172867099999999</v>
      </c>
      <c r="N82" s="20"/>
    </row>
    <row r="83" spans="1:14" x14ac:dyDescent="0.25">
      <c r="A83" s="105">
        <v>44508</v>
      </c>
      <c r="B83" s="128" t="s">
        <v>3</v>
      </c>
      <c r="C83" s="11" t="s">
        <v>3</v>
      </c>
      <c r="D83" s="11" t="s">
        <v>3</v>
      </c>
      <c r="E83" s="138"/>
      <c r="F83" s="123"/>
      <c r="G83" s="9"/>
      <c r="H83" s="112"/>
      <c r="I83" s="47"/>
      <c r="J83" s="47"/>
      <c r="K83" s="98">
        <f>1434.49/1000000</f>
        <v>1.4344900000000001E-3</v>
      </c>
      <c r="L83" s="122"/>
      <c r="M83" s="190">
        <f t="shared" si="1"/>
        <v>1.4344900000000001E-3</v>
      </c>
      <c r="N83" s="20"/>
    </row>
    <row r="84" spans="1:14" x14ac:dyDescent="0.25">
      <c r="A84" s="105">
        <v>44515</v>
      </c>
      <c r="B84" s="128" t="s">
        <v>3</v>
      </c>
      <c r="C84" s="11" t="s">
        <v>3</v>
      </c>
      <c r="D84" s="44">
        <f>-100915397.69/1000000</f>
        <v>-100.91539768999999</v>
      </c>
      <c r="E84" s="181"/>
      <c r="F84" s="173"/>
      <c r="G84" s="9" t="s">
        <v>3</v>
      </c>
      <c r="H84" s="116">
        <f>(153659.54-4191.06)/1000000</f>
        <v>0.14946848000000001</v>
      </c>
      <c r="I84" s="47" t="s">
        <v>3</v>
      </c>
      <c r="J84" s="47" t="s">
        <v>3</v>
      </c>
      <c r="K84" s="73" t="s">
        <v>3</v>
      </c>
      <c r="L84" s="122"/>
      <c r="M84" s="188">
        <f t="shared" si="1"/>
        <v>-100.76592921</v>
      </c>
      <c r="N84" s="20"/>
    </row>
    <row r="85" spans="1:14" x14ac:dyDescent="0.25">
      <c r="A85" s="105">
        <v>44538</v>
      </c>
      <c r="B85" s="96" t="s">
        <v>3</v>
      </c>
      <c r="C85" s="11" t="s">
        <v>3</v>
      </c>
      <c r="D85" s="11" t="s">
        <v>3</v>
      </c>
      <c r="E85" s="138"/>
      <c r="F85" s="123"/>
      <c r="G85" s="9" t="s">
        <v>3</v>
      </c>
      <c r="H85" s="107" t="s">
        <v>3</v>
      </c>
      <c r="I85" s="113">
        <f>(341.4-25905.42)/1000000</f>
        <v>-2.5564019999999996E-2</v>
      </c>
      <c r="J85" s="127" t="s">
        <v>3</v>
      </c>
      <c r="K85" s="47">
        <f>46317.82/1000000</f>
        <v>4.6317820000000003E-2</v>
      </c>
      <c r="L85" s="135"/>
      <c r="M85" s="188">
        <f t="shared" si="1"/>
        <v>2.0753800000000006E-2</v>
      </c>
      <c r="N85" s="20"/>
    </row>
    <row r="86" spans="1:14" x14ac:dyDescent="0.25">
      <c r="A86" s="105">
        <v>44545</v>
      </c>
      <c r="B86" s="96" t="s">
        <v>3</v>
      </c>
      <c r="C86" s="11" t="s">
        <v>3</v>
      </c>
      <c r="D86" s="101">
        <f>-8837249.28/1000000</f>
        <v>-8.83724928</v>
      </c>
      <c r="E86" s="182"/>
      <c r="F86" s="79">
        <f>168482361.91/1000000</f>
        <v>168.48236191000001</v>
      </c>
      <c r="G86" s="9" t="s">
        <v>3</v>
      </c>
      <c r="H86" s="107">
        <f>12584.78/1000000</f>
        <v>1.258478E-2</v>
      </c>
      <c r="I86" s="127" t="s">
        <v>3</v>
      </c>
      <c r="J86" s="47">
        <f>46629.8/1000000</f>
        <v>4.6629800000000006E-2</v>
      </c>
      <c r="K86" s="47" t="s">
        <v>3</v>
      </c>
      <c r="L86" s="135"/>
      <c r="M86" s="188">
        <f t="shared" si="1"/>
        <v>159.70432721</v>
      </c>
      <c r="N86" s="20"/>
    </row>
    <row r="87" spans="1:14" x14ac:dyDescent="0.25">
      <c r="A87" s="105">
        <v>44552</v>
      </c>
      <c r="B87" s="96" t="s">
        <v>3</v>
      </c>
      <c r="C87" s="11" t="s">
        <v>3</v>
      </c>
      <c r="D87" s="11" t="s">
        <v>3</v>
      </c>
      <c r="E87" s="138"/>
      <c r="F87" s="178" t="s">
        <v>3</v>
      </c>
      <c r="G87" s="9" t="s">
        <v>3</v>
      </c>
      <c r="H87" s="107" t="s">
        <v>3</v>
      </c>
      <c r="I87" s="127" t="s">
        <v>3</v>
      </c>
      <c r="J87" s="127" t="s">
        <v>3</v>
      </c>
      <c r="K87" s="189" t="s">
        <v>3</v>
      </c>
      <c r="L87" s="184">
        <f>-35121009.51/1000000</f>
        <v>-35.12100951</v>
      </c>
      <c r="M87" s="188">
        <f t="shared" si="1"/>
        <v>-35.12100951</v>
      </c>
      <c r="N87" s="20"/>
    </row>
    <row r="88" spans="1:14" x14ac:dyDescent="0.25">
      <c r="A88" s="197" t="s">
        <v>72</v>
      </c>
      <c r="B88" s="205">
        <f>SUM(B49:B87)</f>
        <v>-68.619597410000011</v>
      </c>
      <c r="C88" s="206">
        <f t="shared" ref="C88:M88" si="7">SUM(C49:C87)</f>
        <v>-14.85</v>
      </c>
      <c r="D88" s="199">
        <f t="shared" si="7"/>
        <v>5094.7163769299996</v>
      </c>
      <c r="E88" s="199">
        <f t="shared" si="7"/>
        <v>0</v>
      </c>
      <c r="F88" s="200">
        <f t="shared" si="7"/>
        <v>168.48236191000001</v>
      </c>
      <c r="G88" s="204">
        <f t="shared" si="7"/>
        <v>-22.145475010000002</v>
      </c>
      <c r="H88" s="200">
        <f t="shared" si="7"/>
        <v>211.83120136999997</v>
      </c>
      <c r="I88" s="207">
        <f t="shared" si="7"/>
        <v>-0.12440230999999997</v>
      </c>
      <c r="J88" s="201">
        <f t="shared" si="7"/>
        <v>1632.3060493999997</v>
      </c>
      <c r="K88" s="202">
        <f t="shared" si="7"/>
        <v>1.7220220600000002</v>
      </c>
      <c r="L88" s="202">
        <f>SUM(L49:L87)</f>
        <v>663.32315272999995</v>
      </c>
      <c r="M88" s="203">
        <f t="shared" si="7"/>
        <v>7666.6416896700021</v>
      </c>
      <c r="N88" s="20"/>
    </row>
    <row r="89" spans="1:14" x14ac:dyDescent="0.25">
      <c r="A89" s="105">
        <v>44564</v>
      </c>
      <c r="B89" s="96" t="s">
        <v>3</v>
      </c>
      <c r="C89" s="11" t="s">
        <v>3</v>
      </c>
      <c r="D89" s="11" t="s">
        <v>3</v>
      </c>
      <c r="E89" s="138"/>
      <c r="F89" s="79">
        <f>140062645.5/1000000</f>
        <v>140.0626455</v>
      </c>
      <c r="G89" s="9" t="s">
        <v>3</v>
      </c>
      <c r="H89" s="107" t="s">
        <v>3</v>
      </c>
      <c r="I89" s="127" t="s">
        <v>3</v>
      </c>
      <c r="J89" s="127" t="s">
        <v>3</v>
      </c>
      <c r="K89" s="189" t="s">
        <v>3</v>
      </c>
      <c r="L89" s="185"/>
      <c r="M89" s="188">
        <f t="shared" si="1"/>
        <v>140.0626455</v>
      </c>
      <c r="N89" s="20"/>
    </row>
    <row r="90" spans="1:14" x14ac:dyDescent="0.25">
      <c r="A90" s="105">
        <v>44571</v>
      </c>
      <c r="B90" s="96">
        <f>-9441435.03/1000000</f>
        <v>-9.4414350299999992</v>
      </c>
      <c r="C90" s="11">
        <f>50000/1000000</f>
        <v>0.05</v>
      </c>
      <c r="D90" s="11" t="s">
        <v>3</v>
      </c>
      <c r="E90" s="138"/>
      <c r="F90" s="178" t="s">
        <v>3</v>
      </c>
      <c r="G90" s="114">
        <f>(34120.57-138816.38)/1000000</f>
        <v>-0.10469581</v>
      </c>
      <c r="H90" s="107" t="s">
        <v>3</v>
      </c>
      <c r="I90" s="127" t="s">
        <v>3</v>
      </c>
      <c r="J90" s="127" t="s">
        <v>3</v>
      </c>
      <c r="K90" s="47">
        <f>35721.21/1000000</f>
        <v>3.5721209999999996E-2</v>
      </c>
      <c r="L90" s="122"/>
      <c r="M90" s="188">
        <f t="shared" si="1"/>
        <v>-9.4604096299999991</v>
      </c>
      <c r="N90" s="20"/>
    </row>
    <row r="91" spans="1:14" x14ac:dyDescent="0.25">
      <c r="A91" s="176">
        <v>44578</v>
      </c>
      <c r="B91" s="96" t="s">
        <v>3</v>
      </c>
      <c r="C91" s="11" t="s">
        <v>3</v>
      </c>
      <c r="D91" s="11" t="s">
        <v>3</v>
      </c>
      <c r="E91" s="164">
        <f>1433138553.11/1000000</f>
        <v>1433.13855311</v>
      </c>
      <c r="F91" s="79">
        <f>113202564.5/1000000</f>
        <v>113.20256449999999</v>
      </c>
      <c r="G91" s="9" t="s">
        <v>3</v>
      </c>
      <c r="H91" s="107" t="s">
        <v>3</v>
      </c>
      <c r="I91" s="127" t="s">
        <v>3</v>
      </c>
      <c r="J91" s="127" t="s">
        <v>3</v>
      </c>
      <c r="K91" s="189" t="s">
        <v>3</v>
      </c>
      <c r="L91" s="122"/>
      <c r="M91" s="188">
        <f t="shared" si="1"/>
        <v>1546.3411176099999</v>
      </c>
      <c r="N91" s="20"/>
    </row>
    <row r="92" spans="1:14" x14ac:dyDescent="0.25">
      <c r="A92" s="176">
        <v>44593</v>
      </c>
      <c r="B92" s="96" t="s">
        <v>3</v>
      </c>
      <c r="C92" s="11" t="s">
        <v>3</v>
      </c>
      <c r="D92" s="11" t="s">
        <v>3</v>
      </c>
      <c r="E92" s="164" t="s">
        <v>3</v>
      </c>
      <c r="F92" s="79">
        <f>131323018.2/1000000</f>
        <v>131.32301820000001</v>
      </c>
      <c r="G92" s="9" t="s">
        <v>3</v>
      </c>
      <c r="H92" s="107" t="s">
        <v>3</v>
      </c>
      <c r="I92" s="127" t="s">
        <v>3</v>
      </c>
      <c r="J92" s="127" t="s">
        <v>3</v>
      </c>
      <c r="K92" s="189" t="s">
        <v>3</v>
      </c>
      <c r="L92" s="122"/>
      <c r="M92" s="188">
        <f t="shared" si="1"/>
        <v>131.32301820000001</v>
      </c>
      <c r="N92" s="20"/>
    </row>
    <row r="93" spans="1:14" x14ac:dyDescent="0.25">
      <c r="A93" s="176">
        <v>44600</v>
      </c>
      <c r="B93" s="96" t="s">
        <v>3</v>
      </c>
      <c r="C93" s="11" t="s">
        <v>3</v>
      </c>
      <c r="D93" s="11" t="s">
        <v>3</v>
      </c>
      <c r="E93" s="164" t="s">
        <v>3</v>
      </c>
      <c r="F93" s="79" t="s">
        <v>3</v>
      </c>
      <c r="G93" s="9" t="s">
        <v>3</v>
      </c>
      <c r="H93" s="107" t="s">
        <v>3</v>
      </c>
      <c r="I93" s="127" t="s">
        <v>3</v>
      </c>
      <c r="J93" s="127" t="s">
        <v>3</v>
      </c>
      <c r="K93" s="47">
        <f>88354.48/1000000</f>
        <v>8.8354479999999999E-2</v>
      </c>
      <c r="L93" s="122"/>
      <c r="M93" s="188">
        <f t="shared" si="1"/>
        <v>8.8354479999999999E-2</v>
      </c>
      <c r="N93" s="20"/>
    </row>
    <row r="94" spans="1:14" x14ac:dyDescent="0.25">
      <c r="A94" s="176">
        <v>44607</v>
      </c>
      <c r="B94" s="96" t="s">
        <v>3</v>
      </c>
      <c r="C94" s="11" t="s">
        <v>3</v>
      </c>
      <c r="D94" s="11" t="s">
        <v>3</v>
      </c>
      <c r="E94" s="164">
        <f>918010007.92/1000000</f>
        <v>918.01000791999991</v>
      </c>
      <c r="F94" s="79">
        <f>130556611.8/1000000</f>
        <v>130.55661179999998</v>
      </c>
      <c r="G94" s="9" t="s">
        <v>3</v>
      </c>
      <c r="H94" s="107" t="s">
        <v>3</v>
      </c>
      <c r="I94" s="127" t="s">
        <v>3</v>
      </c>
      <c r="J94" s="127" t="s">
        <v>3</v>
      </c>
      <c r="K94" s="189" t="s">
        <v>3</v>
      </c>
      <c r="L94" s="122"/>
      <c r="M94" s="188">
        <f t="shared" si="1"/>
        <v>1048.5666197199998</v>
      </c>
      <c r="N94" s="20"/>
    </row>
    <row r="95" spans="1:14" x14ac:dyDescent="0.25">
      <c r="A95" s="177">
        <v>44621</v>
      </c>
      <c r="B95" s="114" t="s">
        <v>3</v>
      </c>
      <c r="C95" s="11" t="s">
        <v>3</v>
      </c>
      <c r="D95" s="11" t="s">
        <v>3</v>
      </c>
      <c r="E95" s="164" t="s">
        <v>3</v>
      </c>
      <c r="F95" s="79">
        <f>183164035.7/1000000</f>
        <v>183.1640357</v>
      </c>
      <c r="G95" s="9" t="s">
        <v>3</v>
      </c>
      <c r="H95" s="107" t="s">
        <v>3</v>
      </c>
      <c r="I95" s="175" t="s">
        <v>3</v>
      </c>
      <c r="J95" s="127" t="s">
        <v>3</v>
      </c>
      <c r="K95" s="189" t="s">
        <v>3</v>
      </c>
      <c r="L95" s="122"/>
      <c r="M95" s="188">
        <f t="shared" si="1"/>
        <v>183.1640357</v>
      </c>
      <c r="N95" s="20"/>
    </row>
    <row r="96" spans="1:14" x14ac:dyDescent="0.25">
      <c r="A96" s="177">
        <v>44628</v>
      </c>
      <c r="B96" s="114" t="s">
        <v>3</v>
      </c>
      <c r="C96" s="11" t="s">
        <v>3</v>
      </c>
      <c r="D96" s="11">
        <f>(346673.52-101916)/1000000</f>
        <v>0.24475752000000001</v>
      </c>
      <c r="E96" s="164" t="s">
        <v>3</v>
      </c>
      <c r="F96" s="178" t="s">
        <v>3</v>
      </c>
      <c r="G96" s="9" t="s">
        <v>3</v>
      </c>
      <c r="H96" s="107">
        <f>(42277.79-329852.87)/1000000</f>
        <v>-0.28757508000000004</v>
      </c>
      <c r="I96" s="175" t="s">
        <v>3</v>
      </c>
      <c r="J96" s="127" t="s">
        <v>3</v>
      </c>
      <c r="K96" s="47">
        <f>8701.76/1000000</f>
        <v>8.7017599999999994E-3</v>
      </c>
      <c r="L96" s="122"/>
      <c r="M96" s="188">
        <f t="shared" si="1"/>
        <v>-3.4115800000000029E-2</v>
      </c>
      <c r="N96" s="20"/>
    </row>
    <row r="97" spans="1:14" x14ac:dyDescent="0.25">
      <c r="A97" s="177">
        <v>44635</v>
      </c>
      <c r="B97" s="114" t="s">
        <v>3</v>
      </c>
      <c r="C97" s="77" t="s">
        <v>3</v>
      </c>
      <c r="D97" s="77" t="s">
        <v>3</v>
      </c>
      <c r="E97" s="164">
        <f>636668434.33/1000000</f>
        <v>636.66843433000008</v>
      </c>
      <c r="F97" s="79">
        <f>171917381.5/1000000</f>
        <v>171.9173815</v>
      </c>
      <c r="G97" s="9" t="s">
        <v>3</v>
      </c>
      <c r="H97" s="107" t="s">
        <v>3</v>
      </c>
      <c r="I97" s="175" t="s">
        <v>3</v>
      </c>
      <c r="J97" s="127" t="s">
        <v>3</v>
      </c>
      <c r="K97" s="189" t="s">
        <v>3</v>
      </c>
      <c r="L97" s="122"/>
      <c r="M97" s="188">
        <f t="shared" si="1"/>
        <v>808.58581583000012</v>
      </c>
      <c r="N97" s="20"/>
    </row>
    <row r="98" spans="1:14" x14ac:dyDescent="0.25">
      <c r="A98" s="177">
        <v>44648</v>
      </c>
      <c r="B98" s="114" t="s">
        <v>3</v>
      </c>
      <c r="C98" s="77" t="s">
        <v>3</v>
      </c>
      <c r="D98" s="77" t="s">
        <v>3</v>
      </c>
      <c r="E98" s="164" t="s">
        <v>3</v>
      </c>
      <c r="F98" s="178" t="s">
        <v>3</v>
      </c>
      <c r="G98" s="9" t="s">
        <v>3</v>
      </c>
      <c r="H98" s="107" t="s">
        <v>3</v>
      </c>
      <c r="I98" s="175" t="s">
        <v>3</v>
      </c>
      <c r="J98" s="127">
        <f>79847.4/1000000</f>
        <v>7.9847399999999999E-2</v>
      </c>
      <c r="K98" s="189" t="s">
        <v>3</v>
      </c>
      <c r="L98" s="122"/>
      <c r="M98" s="188">
        <f t="shared" si="1"/>
        <v>7.9847399999999999E-2</v>
      </c>
      <c r="N98" s="20"/>
    </row>
    <row r="99" spans="1:14" x14ac:dyDescent="0.25">
      <c r="A99" s="177">
        <v>44649</v>
      </c>
      <c r="B99" s="114" t="s">
        <v>3</v>
      </c>
      <c r="C99" s="77" t="s">
        <v>3</v>
      </c>
      <c r="D99" s="77" t="s">
        <v>3</v>
      </c>
      <c r="E99" s="164" t="s">
        <v>3</v>
      </c>
      <c r="F99" s="178" t="s">
        <v>3</v>
      </c>
      <c r="G99" s="9" t="s">
        <v>3</v>
      </c>
      <c r="H99" s="107" t="s">
        <v>3</v>
      </c>
      <c r="I99" s="175" t="s">
        <v>3</v>
      </c>
      <c r="J99" s="135"/>
      <c r="K99" s="189" t="s">
        <v>3</v>
      </c>
      <c r="L99" s="187">
        <f>-763863.77/1000000</f>
        <v>-0.76386377000000005</v>
      </c>
      <c r="M99" s="188">
        <f t="shared" si="1"/>
        <v>-0.76386377000000005</v>
      </c>
      <c r="N99" s="20"/>
    </row>
    <row r="100" spans="1:14" x14ac:dyDescent="0.25">
      <c r="A100" s="177">
        <v>44652</v>
      </c>
      <c r="B100" s="114" t="s">
        <v>3</v>
      </c>
      <c r="C100" s="77" t="s">
        <v>3</v>
      </c>
      <c r="D100" s="77" t="s">
        <v>3</v>
      </c>
      <c r="E100" s="164" t="s">
        <v>3</v>
      </c>
      <c r="F100" s="79">
        <f>282858462.4/1000000</f>
        <v>282.85846239999995</v>
      </c>
      <c r="G100" s="9" t="s">
        <v>3</v>
      </c>
      <c r="H100" s="107" t="s">
        <v>3</v>
      </c>
      <c r="I100" s="175" t="s">
        <v>3</v>
      </c>
      <c r="J100" s="191"/>
      <c r="K100" s="127" t="s">
        <v>3</v>
      </c>
      <c r="L100" s="186"/>
      <c r="M100" s="188">
        <f t="shared" si="1"/>
        <v>282.85846239999995</v>
      </c>
      <c r="N100" s="20"/>
    </row>
    <row r="101" spans="1:14" x14ac:dyDescent="0.25">
      <c r="A101" s="177">
        <v>44659</v>
      </c>
      <c r="B101" s="114" t="s">
        <v>3</v>
      </c>
      <c r="C101" s="77" t="s">
        <v>3</v>
      </c>
      <c r="D101" s="77" t="s">
        <v>3</v>
      </c>
      <c r="E101" s="164" t="s">
        <v>3</v>
      </c>
      <c r="F101" s="79" t="s">
        <v>3</v>
      </c>
      <c r="G101" s="9" t="s">
        <v>3</v>
      </c>
      <c r="H101" s="107" t="s">
        <v>3</v>
      </c>
      <c r="I101" s="175" t="s">
        <v>3</v>
      </c>
      <c r="J101" s="191"/>
      <c r="K101" s="47">
        <f>42247.42/1000000</f>
        <v>4.2247420000000001E-2</v>
      </c>
      <c r="L101" s="186"/>
      <c r="M101" s="188">
        <f t="shared" si="1"/>
        <v>4.2247420000000001E-2</v>
      </c>
      <c r="N101" s="20"/>
    </row>
    <row r="102" spans="1:14" x14ac:dyDescent="0.25">
      <c r="A102" s="177">
        <v>44670</v>
      </c>
      <c r="B102" s="114" t="s">
        <v>3</v>
      </c>
      <c r="C102" s="77" t="s">
        <v>3</v>
      </c>
      <c r="D102" s="77" t="s">
        <v>3</v>
      </c>
      <c r="E102" s="164">
        <f>691700623.55/1000000</f>
        <v>691.70062354999993</v>
      </c>
      <c r="F102" s="79">
        <f>238436129.93/1000000</f>
        <v>238.43612993000002</v>
      </c>
      <c r="G102" s="9" t="s">
        <v>3</v>
      </c>
      <c r="H102" s="107" t="s">
        <v>3</v>
      </c>
      <c r="I102" s="175" t="s">
        <v>3</v>
      </c>
      <c r="J102" s="191"/>
      <c r="K102" s="127" t="s">
        <v>3</v>
      </c>
      <c r="L102" s="135"/>
      <c r="M102" s="188">
        <f t="shared" si="1"/>
        <v>930.13675347999992</v>
      </c>
      <c r="N102" s="20"/>
    </row>
    <row r="103" spans="1:14" x14ac:dyDescent="0.25">
      <c r="A103" s="177">
        <v>44683</v>
      </c>
      <c r="B103" s="114" t="s">
        <v>3</v>
      </c>
      <c r="C103" s="77" t="s">
        <v>3</v>
      </c>
      <c r="D103" s="77" t="s">
        <v>3</v>
      </c>
      <c r="E103" s="164" t="s">
        <v>3</v>
      </c>
      <c r="F103" s="79">
        <f>262768921.8/1000000</f>
        <v>262.76892179999999</v>
      </c>
      <c r="G103" s="9" t="s">
        <v>3</v>
      </c>
      <c r="H103" s="107" t="s">
        <v>3</v>
      </c>
      <c r="I103" s="175" t="s">
        <v>3</v>
      </c>
      <c r="J103" s="191"/>
      <c r="K103" s="127" t="s">
        <v>3</v>
      </c>
      <c r="L103" s="135"/>
      <c r="M103" s="188">
        <f>SUM(B103:L103)</f>
        <v>262.76892179999999</v>
      </c>
      <c r="N103" s="20"/>
    </row>
    <row r="104" spans="1:14" x14ac:dyDescent="0.25">
      <c r="A104" s="177">
        <v>44690</v>
      </c>
      <c r="B104" s="114" t="s">
        <v>3</v>
      </c>
      <c r="C104" s="77" t="s">
        <v>3</v>
      </c>
      <c r="D104" s="77" t="s">
        <v>3</v>
      </c>
      <c r="E104" s="164" t="s">
        <v>3</v>
      </c>
      <c r="F104" s="79" t="s">
        <v>3</v>
      </c>
      <c r="G104" s="9" t="s">
        <v>3</v>
      </c>
      <c r="H104" s="107" t="s">
        <v>3</v>
      </c>
      <c r="I104" s="175" t="s">
        <v>3</v>
      </c>
      <c r="J104" s="191"/>
      <c r="K104" s="47">
        <f>64105.58/1000000</f>
        <v>6.4105579999999995E-2</v>
      </c>
      <c r="L104" s="135"/>
      <c r="M104" s="188">
        <f>SUM(B104:L104)</f>
        <v>6.4105579999999995E-2</v>
      </c>
      <c r="N104" s="20"/>
    </row>
    <row r="105" spans="1:14" x14ac:dyDescent="0.25">
      <c r="A105" s="177">
        <v>44697</v>
      </c>
      <c r="B105" s="114" t="s">
        <v>3</v>
      </c>
      <c r="C105" s="77" t="s">
        <v>3</v>
      </c>
      <c r="D105" s="77" t="s">
        <v>3</v>
      </c>
      <c r="E105" s="164">
        <f>383404291.05/1000000</f>
        <v>383.40429105000004</v>
      </c>
      <c r="F105" s="79">
        <f>177973034.1/1000000</f>
        <v>177.97303410000001</v>
      </c>
      <c r="G105" s="9" t="s">
        <v>3</v>
      </c>
      <c r="H105" s="107" t="s">
        <v>3</v>
      </c>
      <c r="I105" s="175" t="s">
        <v>3</v>
      </c>
      <c r="J105" s="191"/>
      <c r="K105" s="127" t="s">
        <v>3</v>
      </c>
      <c r="L105" s="135"/>
      <c r="M105" s="121">
        <f t="shared" ref="M105:M114" si="8">SUM(B105:L105)</f>
        <v>561.37732515000005</v>
      </c>
      <c r="N105" s="20"/>
    </row>
    <row r="106" spans="1:14" x14ac:dyDescent="0.25">
      <c r="A106" s="177">
        <v>44713</v>
      </c>
      <c r="B106" s="114" t="s">
        <v>3</v>
      </c>
      <c r="C106" s="77" t="s">
        <v>3</v>
      </c>
      <c r="D106" s="77" t="s">
        <v>3</v>
      </c>
      <c r="E106" s="164" t="s">
        <v>3</v>
      </c>
      <c r="F106" s="79">
        <f>261128188.4/1000000</f>
        <v>261.1281884</v>
      </c>
      <c r="G106" s="9" t="s">
        <v>3</v>
      </c>
      <c r="H106" s="107" t="s">
        <v>3</v>
      </c>
      <c r="I106" s="175" t="s">
        <v>3</v>
      </c>
      <c r="J106" s="191"/>
      <c r="K106" s="127" t="s">
        <v>3</v>
      </c>
      <c r="L106" s="135"/>
      <c r="M106" s="121">
        <f t="shared" si="8"/>
        <v>261.1281884</v>
      </c>
      <c r="N106" s="20"/>
    </row>
    <row r="107" spans="1:14" x14ac:dyDescent="0.25">
      <c r="A107" s="177">
        <v>44720</v>
      </c>
      <c r="B107" s="114" t="s">
        <v>3</v>
      </c>
      <c r="C107" s="77" t="s">
        <v>3</v>
      </c>
      <c r="D107" s="77">
        <f>21000/1000000</f>
        <v>2.1000000000000001E-2</v>
      </c>
      <c r="E107" s="164" t="s">
        <v>3</v>
      </c>
      <c r="F107" s="178" t="s">
        <v>3</v>
      </c>
      <c r="G107" s="9" t="s">
        <v>3</v>
      </c>
      <c r="H107" s="107">
        <f>18432.86/1000000</f>
        <v>1.8432860000000002E-2</v>
      </c>
      <c r="I107" s="175" t="s">
        <v>3</v>
      </c>
      <c r="J107" s="191"/>
      <c r="K107" s="47">
        <f>143895.51/1000000</f>
        <v>0.14389551</v>
      </c>
      <c r="L107" s="135"/>
      <c r="M107" s="121">
        <f t="shared" si="8"/>
        <v>0.18332837000000002</v>
      </c>
      <c r="N107" s="20"/>
    </row>
    <row r="108" spans="1:14" x14ac:dyDescent="0.25">
      <c r="A108" s="177">
        <v>44727</v>
      </c>
      <c r="B108" s="114" t="s">
        <v>3</v>
      </c>
      <c r="C108" s="77" t="s">
        <v>3</v>
      </c>
      <c r="D108" s="77" t="s">
        <v>3</v>
      </c>
      <c r="E108" s="164">
        <v>9.7675696799999994</v>
      </c>
      <c r="F108" s="79">
        <v>104.43598540000001</v>
      </c>
      <c r="G108" s="9" t="s">
        <v>3</v>
      </c>
      <c r="H108" s="107" t="s">
        <v>3</v>
      </c>
      <c r="I108" s="175" t="s">
        <v>3</v>
      </c>
      <c r="J108" s="191"/>
      <c r="K108" s="127" t="s">
        <v>3</v>
      </c>
      <c r="L108" s="135"/>
      <c r="M108" s="121">
        <f t="shared" si="8"/>
        <v>114.20355508</v>
      </c>
      <c r="N108" s="20"/>
    </row>
    <row r="109" spans="1:14" x14ac:dyDescent="0.25">
      <c r="A109" s="177">
        <v>44740</v>
      </c>
      <c r="B109" s="248" t="s">
        <v>3</v>
      </c>
      <c r="C109" s="11" t="s">
        <v>3</v>
      </c>
      <c r="D109" s="11" t="s">
        <v>3</v>
      </c>
      <c r="E109" s="164" t="s">
        <v>3</v>
      </c>
      <c r="F109" s="11" t="s">
        <v>3</v>
      </c>
      <c r="G109" s="73" t="s">
        <v>3</v>
      </c>
      <c r="H109" s="107" t="s">
        <v>3</v>
      </c>
      <c r="I109" s="127" t="s">
        <v>3</v>
      </c>
      <c r="J109" s="196"/>
      <c r="K109" s="208" t="s">
        <v>3</v>
      </c>
      <c r="L109" s="187">
        <f>-(3.13655604)</f>
        <v>-3.1365560399999999</v>
      </c>
      <c r="M109" s="121">
        <f t="shared" si="8"/>
        <v>-3.1365560399999999</v>
      </c>
      <c r="N109" s="20"/>
    </row>
    <row r="110" spans="1:14" x14ac:dyDescent="0.25">
      <c r="A110" s="192">
        <v>44743</v>
      </c>
      <c r="B110" s="193" t="s">
        <v>3</v>
      </c>
      <c r="C110" s="156" t="s">
        <v>3</v>
      </c>
      <c r="D110" s="156" t="s">
        <v>3</v>
      </c>
      <c r="E110" s="194" t="s">
        <v>3</v>
      </c>
      <c r="F110" s="194">
        <f>102606318.5/1000000</f>
        <v>102.6063185</v>
      </c>
      <c r="G110" s="87" t="s">
        <v>3</v>
      </c>
      <c r="H110" s="195" t="s">
        <v>3</v>
      </c>
      <c r="I110" s="208" t="s">
        <v>3</v>
      </c>
      <c r="J110" s="191"/>
      <c r="K110" s="208" t="s">
        <v>3</v>
      </c>
      <c r="L110" s="135"/>
      <c r="M110" s="121">
        <f t="shared" si="8"/>
        <v>102.6063185</v>
      </c>
      <c r="N110" s="20"/>
    </row>
    <row r="111" spans="1:14" x14ac:dyDescent="0.25">
      <c r="A111" s="177">
        <v>44750</v>
      </c>
      <c r="B111" s="248">
        <f>1522397.39/1000000</f>
        <v>1.5223973899999999</v>
      </c>
      <c r="C111" s="250">
        <f>-950000/1000000</f>
        <v>-0.95</v>
      </c>
      <c r="D111" s="11" t="s">
        <v>3</v>
      </c>
      <c r="E111" s="164" t="s">
        <v>3</v>
      </c>
      <c r="F111" s="11" t="s">
        <v>3</v>
      </c>
      <c r="G111" s="251">
        <f>-3945.73/1000000</f>
        <v>-3.9457299999999997E-3</v>
      </c>
      <c r="H111" s="107" t="s">
        <v>3</v>
      </c>
      <c r="I111" s="127" t="s">
        <v>3</v>
      </c>
      <c r="J111" s="191"/>
      <c r="K111" s="252">
        <f>(46416.1-87909.43)/1000000</f>
        <v>-4.1493329999999995E-2</v>
      </c>
      <c r="L111" s="191"/>
      <c r="M111" s="121">
        <f t="shared" si="8"/>
        <v>0.52695832999999992</v>
      </c>
      <c r="N111" s="20"/>
    </row>
    <row r="112" spans="1:14" x14ac:dyDescent="0.25">
      <c r="A112" s="177">
        <v>44757</v>
      </c>
      <c r="B112" s="248" t="s">
        <v>3</v>
      </c>
      <c r="C112" s="250" t="s">
        <v>3</v>
      </c>
      <c r="D112" s="11" t="s">
        <v>3</v>
      </c>
      <c r="E112" s="164" t="s">
        <v>3</v>
      </c>
      <c r="F112" s="11">
        <f>131756364.9/1000000</f>
        <v>131.75636489999999</v>
      </c>
      <c r="G112" s="251" t="s">
        <v>3</v>
      </c>
      <c r="H112" s="107" t="s">
        <v>3</v>
      </c>
      <c r="I112" s="127">
        <f>42906.45/1000000</f>
        <v>4.2906449999999999E-2</v>
      </c>
      <c r="J112" s="191"/>
      <c r="K112" s="252" t="s">
        <v>3</v>
      </c>
      <c r="L112" s="191"/>
      <c r="M112" s="121">
        <f t="shared" si="8"/>
        <v>131.79927135</v>
      </c>
      <c r="N112" s="20"/>
    </row>
    <row r="113" spans="1:20" x14ac:dyDescent="0.25">
      <c r="A113" s="177">
        <v>44774</v>
      </c>
      <c r="B113" s="255" t="s">
        <v>3</v>
      </c>
      <c r="C113" s="256" t="s">
        <v>3</v>
      </c>
      <c r="D113" s="29" t="s">
        <v>3</v>
      </c>
      <c r="E113" s="257" t="s">
        <v>3</v>
      </c>
      <c r="F113" s="29">
        <f>84397545/1000000</f>
        <v>84.397544999999994</v>
      </c>
      <c r="G113" s="258" t="s">
        <v>3</v>
      </c>
      <c r="H113" s="259" t="s">
        <v>3</v>
      </c>
      <c r="I113" s="208" t="s">
        <v>3</v>
      </c>
      <c r="J113" s="191"/>
      <c r="K113" s="252" t="s">
        <v>3</v>
      </c>
      <c r="L113" s="191"/>
      <c r="M113" s="121">
        <f t="shared" si="8"/>
        <v>84.397544999999994</v>
      </c>
      <c r="N113" s="20"/>
    </row>
    <row r="114" spans="1:20" x14ac:dyDescent="0.25">
      <c r="A114" s="177">
        <v>44788</v>
      </c>
      <c r="B114" s="255" t="s">
        <v>3</v>
      </c>
      <c r="C114" s="256" t="s">
        <v>3</v>
      </c>
      <c r="D114" s="29" t="s">
        <v>3</v>
      </c>
      <c r="E114" s="257" t="s">
        <v>3</v>
      </c>
      <c r="F114" s="29">
        <f>215524820.9/1000000</f>
        <v>215.52482090000001</v>
      </c>
      <c r="G114" s="258" t="s">
        <v>3</v>
      </c>
      <c r="H114" s="259" t="s">
        <v>3</v>
      </c>
      <c r="I114" s="208" t="s">
        <v>3</v>
      </c>
      <c r="J114" s="191"/>
      <c r="K114" s="252" t="s">
        <v>3</v>
      </c>
      <c r="L114" s="191"/>
      <c r="M114" s="121">
        <f t="shared" si="8"/>
        <v>215.52482090000001</v>
      </c>
      <c r="N114" s="20"/>
    </row>
    <row r="115" spans="1:20" ht="15.75" thickBot="1" x14ac:dyDescent="0.3">
      <c r="A115" s="197" t="s">
        <v>73</v>
      </c>
      <c r="B115" s="209">
        <f>SUM(B89:B114)</f>
        <v>-7.9190376399999991</v>
      </c>
      <c r="C115" s="260">
        <f>SUM(C89:C114)</f>
        <v>-0.89999999999999991</v>
      </c>
      <c r="D115" s="210">
        <f>SUM(D89:D114)</f>
        <v>0.26575752000000002</v>
      </c>
      <c r="E115" s="210">
        <f t="shared" ref="E115:L115" si="9">SUM(E89:E113)</f>
        <v>4072.6894796400002</v>
      </c>
      <c r="F115" s="211">
        <f>SUM(F89:F114)</f>
        <v>2732.1120285299999</v>
      </c>
      <c r="G115" s="212">
        <f t="shared" si="9"/>
        <v>-0.10864153999999999</v>
      </c>
      <c r="H115" s="213">
        <f t="shared" si="9"/>
        <v>-0.26914222000000004</v>
      </c>
      <c r="I115" s="214">
        <f t="shared" si="9"/>
        <v>4.2906449999999999E-2</v>
      </c>
      <c r="J115" s="214">
        <f t="shared" si="9"/>
        <v>7.9847399999999999E-2</v>
      </c>
      <c r="K115" s="214">
        <f t="shared" si="9"/>
        <v>0.34153263</v>
      </c>
      <c r="L115" s="215">
        <f t="shared" si="9"/>
        <v>-3.9004198099999998</v>
      </c>
      <c r="M115" s="216">
        <f>SUM(M89:M114)</f>
        <v>6792.4343109599986</v>
      </c>
      <c r="N115" s="20"/>
    </row>
    <row r="116" spans="1:20" x14ac:dyDescent="0.25">
      <c r="A116" s="3" t="s">
        <v>0</v>
      </c>
      <c r="B116" s="217">
        <f t="shared" ref="B116:I116" si="10">B48+B88+B115</f>
        <v>8899.1566418900038</v>
      </c>
      <c r="C116" s="218">
        <f t="shared" si="10"/>
        <v>684.84999999999991</v>
      </c>
      <c r="D116" s="218">
        <f t="shared" si="10"/>
        <v>5529.7133535099993</v>
      </c>
      <c r="E116" s="218">
        <f t="shared" si="10"/>
        <v>4072.6894796400002</v>
      </c>
      <c r="F116" s="219">
        <f t="shared" si="10"/>
        <v>2900.5943904400001</v>
      </c>
      <c r="G116" s="217">
        <f t="shared" si="10"/>
        <v>312.57866795000001</v>
      </c>
      <c r="H116" s="217">
        <f t="shared" si="10"/>
        <v>249.50957548999997</v>
      </c>
      <c r="I116" s="217">
        <f t="shared" si="10"/>
        <v>814.33570444999998</v>
      </c>
      <c r="J116" s="217">
        <f t="shared" ref="J116:L116" si="11">J48+J88+J115</f>
        <v>2123.7858967999996</v>
      </c>
      <c r="K116" s="217">
        <f t="shared" si="11"/>
        <v>8.70522755</v>
      </c>
      <c r="L116" s="217">
        <f t="shared" si="11"/>
        <v>752.42273291999993</v>
      </c>
      <c r="M116" s="217">
        <f>M48+M88+M115</f>
        <v>26348.341670640002</v>
      </c>
      <c r="N116" s="26"/>
      <c r="O116" s="10"/>
      <c r="P116" s="10"/>
      <c r="Q116" s="10"/>
      <c r="R116" s="10"/>
      <c r="S116" s="10"/>
      <c r="T116" s="10"/>
    </row>
    <row r="118" spans="1:20" x14ac:dyDescent="0.25">
      <c r="A118" s="106" t="s">
        <v>76</v>
      </c>
      <c r="M118" s="10"/>
    </row>
    <row r="119" spans="1:20" x14ac:dyDescent="0.25">
      <c r="L119" s="10"/>
    </row>
    <row r="120" spans="1:20" x14ac:dyDescent="0.25">
      <c r="A120" t="s">
        <v>56</v>
      </c>
      <c r="M120" s="10"/>
    </row>
    <row r="121" spans="1:20" ht="111" customHeight="1" x14ac:dyDescent="0.25">
      <c r="A121" s="268" t="s">
        <v>74</v>
      </c>
      <c r="B121" s="268"/>
      <c r="C121" s="268"/>
      <c r="D121" s="268"/>
      <c r="E121" s="268"/>
      <c r="F121" s="268"/>
      <c r="G121" s="268"/>
      <c r="H121" s="268"/>
      <c r="I121" s="268"/>
      <c r="J121" s="268"/>
      <c r="K121" s="268"/>
      <c r="L121" s="268"/>
    </row>
    <row r="122" spans="1:20" ht="15" customHeight="1" x14ac:dyDescent="0.25"/>
    <row r="123" spans="1:20" ht="15" customHeight="1" x14ac:dyDescent="0.25">
      <c r="A123" s="281"/>
      <c r="B123" s="281"/>
      <c r="C123" s="281"/>
      <c r="D123" s="281"/>
      <c r="E123" s="281"/>
      <c r="F123" s="281"/>
      <c r="G123" s="281"/>
      <c r="H123" s="281"/>
      <c r="I123" s="281"/>
      <c r="J123" s="281"/>
      <c r="K123" s="281"/>
      <c r="L123" s="281"/>
      <c r="M123" s="281"/>
    </row>
    <row r="124" spans="1:20" ht="15" customHeight="1" x14ac:dyDescent="0.25">
      <c r="A124" s="282"/>
      <c r="B124" s="282"/>
      <c r="C124" s="282"/>
      <c r="D124" s="282"/>
      <c r="E124" s="282"/>
      <c r="F124" s="282"/>
      <c r="G124" s="282"/>
      <c r="H124" s="282"/>
      <c r="I124" s="282"/>
      <c r="J124" s="282"/>
      <c r="K124" s="282"/>
      <c r="L124" s="282"/>
      <c r="M124" s="282"/>
    </row>
    <row r="125" spans="1:20" ht="15" customHeight="1" x14ac:dyDescent="0.25">
      <c r="A125" s="282"/>
      <c r="B125" s="282"/>
      <c r="C125" s="282"/>
      <c r="D125" s="282"/>
      <c r="E125" s="282"/>
      <c r="F125" s="282"/>
      <c r="G125" s="282"/>
      <c r="H125" s="282"/>
      <c r="I125" s="282"/>
      <c r="J125" s="282"/>
      <c r="K125" s="282"/>
      <c r="L125" s="282"/>
      <c r="M125" s="282"/>
    </row>
    <row r="126" spans="1:20" ht="15" customHeight="1" x14ac:dyDescent="0.25">
      <c r="A126" s="282"/>
      <c r="B126" s="282"/>
      <c r="C126" s="282"/>
      <c r="D126" s="282"/>
      <c r="E126" s="282"/>
      <c r="F126" s="282"/>
      <c r="G126" s="282"/>
      <c r="H126" s="282"/>
      <c r="I126" s="282"/>
      <c r="J126" s="282"/>
      <c r="K126" s="282"/>
      <c r="L126" s="282"/>
      <c r="M126" s="282"/>
    </row>
    <row r="127" spans="1:20" ht="15" customHeight="1" x14ac:dyDescent="0.25">
      <c r="A127" s="283"/>
      <c r="B127" s="283"/>
      <c r="C127" s="283"/>
      <c r="D127" s="283"/>
      <c r="E127" s="283"/>
      <c r="F127" s="283"/>
      <c r="G127" s="283"/>
      <c r="H127" s="283"/>
      <c r="I127" s="283"/>
      <c r="J127" s="283"/>
      <c r="K127" s="283"/>
      <c r="L127" s="283"/>
      <c r="M127" s="283"/>
    </row>
    <row r="128" spans="1:20" ht="15" customHeight="1" x14ac:dyDescent="0.25">
      <c r="A128" s="283"/>
      <c r="B128" s="283"/>
      <c r="C128" s="283"/>
      <c r="D128" s="283"/>
      <c r="E128" s="283"/>
      <c r="F128" s="283"/>
      <c r="G128" s="283"/>
      <c r="H128" s="283"/>
      <c r="I128" s="283"/>
      <c r="J128" s="283"/>
      <c r="K128" s="283"/>
      <c r="L128" s="283"/>
      <c r="M128" s="283"/>
    </row>
    <row r="129" spans="1:13" ht="15" customHeight="1" x14ac:dyDescent="0.25">
      <c r="A129" s="281"/>
      <c r="B129" s="281"/>
      <c r="C129" s="281"/>
      <c r="D129" s="281"/>
      <c r="E129" s="281"/>
      <c r="F129" s="281"/>
      <c r="G129" s="281"/>
      <c r="H129" s="281"/>
      <c r="I129" s="281"/>
      <c r="J129" s="281"/>
      <c r="K129" s="281"/>
      <c r="L129" s="281"/>
      <c r="M129" s="281"/>
    </row>
  </sheetData>
  <mergeCells count="6">
    <mergeCell ref="A11:A12"/>
    <mergeCell ref="M11:M12"/>
    <mergeCell ref="L11:L12"/>
    <mergeCell ref="A121:L121"/>
    <mergeCell ref="G11:H11"/>
    <mergeCell ref="B11:F11"/>
  </mergeCells>
  <pageMargins left="0.70866141732283472" right="0.70866141732283472" top="0.19685039370078741" bottom="0.39370078740157483" header="0" footer="0"/>
  <pageSetup paperSize="9" scale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FFFA0-49FE-401B-9C95-5EEE595B48AE}">
  <sheetPr>
    <pageSetUpPr fitToPage="1"/>
  </sheetPr>
  <dimension ref="A8:R98"/>
  <sheetViews>
    <sheetView topLeftCell="A8" zoomScaleNormal="100" workbookViewId="0">
      <pane ySplit="5" topLeftCell="A13" activePane="bottomLeft" state="frozen"/>
      <selection activeCell="A8" sqref="A8"/>
      <selection pane="bottomLeft" activeCell="J23" sqref="J22:J23"/>
    </sheetView>
  </sheetViews>
  <sheetFormatPr baseColWidth="10" defaultRowHeight="15" x14ac:dyDescent="0.25"/>
  <cols>
    <col min="1" max="1" width="14.85546875" customWidth="1"/>
    <col min="2" max="2" width="16.5703125" customWidth="1"/>
    <col min="3" max="3" width="22.28515625" customWidth="1"/>
    <col min="4" max="4" width="21.85546875" bestFit="1" customWidth="1"/>
    <col min="5" max="5" width="16.28515625" customWidth="1"/>
    <col min="6" max="6" width="20.85546875" customWidth="1"/>
    <col min="7" max="7" width="19.140625" bestFit="1" customWidth="1"/>
    <col min="8" max="8" width="19.5703125" customWidth="1"/>
    <col min="9" max="9" width="21.42578125" customWidth="1"/>
    <col min="10" max="10" width="19.85546875" bestFit="1" customWidth="1"/>
    <col min="11" max="11" width="22.140625" customWidth="1"/>
    <col min="12" max="12" width="11" customWidth="1"/>
    <col min="13" max="13" width="38.28515625" customWidth="1"/>
    <col min="17" max="17" width="18.28515625" bestFit="1" customWidth="1"/>
    <col min="18" max="18" width="25.5703125" bestFit="1" customWidth="1"/>
  </cols>
  <sheetData>
    <row r="8" spans="1:9" ht="18.75" x14ac:dyDescent="0.3">
      <c r="A8" s="36" t="s">
        <v>25</v>
      </c>
    </row>
    <row r="9" spans="1:9" ht="17.25" x14ac:dyDescent="0.3">
      <c r="A9" s="1"/>
    </row>
    <row r="10" spans="1:9" ht="15.75" x14ac:dyDescent="0.25">
      <c r="A10" s="39" t="s">
        <v>26</v>
      </c>
    </row>
    <row r="11" spans="1:9" ht="51" customHeight="1" x14ac:dyDescent="0.25">
      <c r="A11" s="272" t="s">
        <v>2</v>
      </c>
      <c r="B11" s="40" t="s">
        <v>46</v>
      </c>
      <c r="C11" s="274" t="s">
        <v>52</v>
      </c>
      <c r="D11" s="275"/>
      <c r="E11" s="275"/>
      <c r="F11" s="276"/>
      <c r="G11" s="40" t="s">
        <v>44</v>
      </c>
      <c r="H11" s="151" t="s">
        <v>53</v>
      </c>
      <c r="I11" s="264" t="s">
        <v>0</v>
      </c>
    </row>
    <row r="12" spans="1:9" ht="93" thickBot="1" x14ac:dyDescent="0.3">
      <c r="A12" s="273"/>
      <c r="B12" s="38" t="s">
        <v>36</v>
      </c>
      <c r="C12" s="50" t="s">
        <v>47</v>
      </c>
      <c r="D12" s="154" t="s">
        <v>62</v>
      </c>
      <c r="E12" s="84" t="s">
        <v>48</v>
      </c>
      <c r="F12" s="99" t="s">
        <v>75</v>
      </c>
      <c r="G12" s="53" t="s">
        <v>45</v>
      </c>
      <c r="H12" s="53" t="s">
        <v>50</v>
      </c>
      <c r="I12" s="265"/>
    </row>
    <row r="13" spans="1:9" x14ac:dyDescent="0.25">
      <c r="A13" s="5">
        <v>44027</v>
      </c>
      <c r="B13" s="54">
        <f>801328.84/1000000</f>
        <v>0.80132883999999993</v>
      </c>
      <c r="C13" s="130"/>
      <c r="D13" s="131"/>
      <c r="E13" s="132"/>
      <c r="F13" s="133"/>
      <c r="G13" s="135"/>
      <c r="H13" s="135"/>
      <c r="I13" s="51">
        <f t="shared" ref="I13:I32" si="0">SUM(B13:E13)</f>
        <v>0.80132883999999993</v>
      </c>
    </row>
    <row r="14" spans="1:9" x14ac:dyDescent="0.25">
      <c r="A14" s="2">
        <v>44060</v>
      </c>
      <c r="B14" s="47">
        <v>4.2032614600000002</v>
      </c>
      <c r="C14" s="130"/>
      <c r="D14" s="131"/>
      <c r="E14" s="132"/>
      <c r="F14" s="133"/>
      <c r="G14" s="135"/>
      <c r="H14" s="135"/>
      <c r="I14" s="51">
        <f t="shared" si="0"/>
        <v>4.2032614600000002</v>
      </c>
    </row>
    <row r="15" spans="1:9" x14ac:dyDescent="0.25">
      <c r="A15" s="2">
        <v>44089</v>
      </c>
      <c r="B15" s="47">
        <f>23913941.94/1000000</f>
        <v>23.913941940000001</v>
      </c>
      <c r="C15" s="130"/>
      <c r="D15" s="131"/>
      <c r="E15" s="132"/>
      <c r="F15" s="133"/>
      <c r="G15" s="135"/>
      <c r="H15" s="135"/>
      <c r="I15" s="51">
        <f t="shared" si="0"/>
        <v>23.913941940000001</v>
      </c>
    </row>
    <row r="16" spans="1:9" x14ac:dyDescent="0.25">
      <c r="A16" s="2">
        <v>44119</v>
      </c>
      <c r="B16" s="47">
        <f>74667829.12/1000000</f>
        <v>74.667829120000007</v>
      </c>
      <c r="C16" s="130"/>
      <c r="D16" s="131"/>
      <c r="E16" s="132"/>
      <c r="F16" s="133"/>
      <c r="G16" s="135"/>
      <c r="H16" s="135"/>
      <c r="I16" s="51">
        <f t="shared" si="0"/>
        <v>74.667829120000007</v>
      </c>
    </row>
    <row r="17" spans="1:13" x14ac:dyDescent="0.25">
      <c r="A17" s="2">
        <v>44151</v>
      </c>
      <c r="B17" s="47">
        <f>71227765.92/1000000</f>
        <v>71.227765919999996</v>
      </c>
      <c r="C17" s="130"/>
      <c r="D17" s="131"/>
      <c r="E17" s="132"/>
      <c r="F17" s="133"/>
      <c r="G17" s="135"/>
      <c r="H17" s="135"/>
      <c r="I17" s="239">
        <f t="shared" si="0"/>
        <v>71.227765919999996</v>
      </c>
      <c r="L17" s="30"/>
      <c r="M17" s="30"/>
    </row>
    <row r="18" spans="1:13" x14ac:dyDescent="0.25">
      <c r="A18" s="2">
        <v>44180</v>
      </c>
      <c r="B18" s="47">
        <f>110865627/1000000</f>
        <v>110.865627</v>
      </c>
      <c r="C18" s="130"/>
      <c r="D18" s="131"/>
      <c r="E18" s="132"/>
      <c r="F18" s="133"/>
      <c r="G18" s="135"/>
      <c r="H18" s="135"/>
      <c r="I18" s="240">
        <f t="shared" si="0"/>
        <v>110.865627</v>
      </c>
      <c r="L18" s="30"/>
      <c r="M18" s="30"/>
    </row>
    <row r="19" spans="1:13" x14ac:dyDescent="0.25">
      <c r="A19" s="220" t="s">
        <v>71</v>
      </c>
      <c r="B19" s="221">
        <f t="shared" ref="B19:I19" si="1">SUM(B13:B18)</f>
        <v>285.67975428</v>
      </c>
      <c r="C19" s="222">
        <f t="shared" si="1"/>
        <v>0</v>
      </c>
      <c r="D19" s="223">
        <f t="shared" si="1"/>
        <v>0</v>
      </c>
      <c r="E19" s="223">
        <f t="shared" si="1"/>
        <v>0</v>
      </c>
      <c r="F19" s="224">
        <f t="shared" si="1"/>
        <v>0</v>
      </c>
      <c r="G19" s="221">
        <f t="shared" si="1"/>
        <v>0</v>
      </c>
      <c r="H19" s="221">
        <f t="shared" si="1"/>
        <v>0</v>
      </c>
      <c r="I19" s="241">
        <f t="shared" si="1"/>
        <v>285.67975428</v>
      </c>
      <c r="L19" s="30"/>
      <c r="M19" s="30"/>
    </row>
    <row r="20" spans="1:13" x14ac:dyDescent="0.25">
      <c r="A20" s="2">
        <v>44211</v>
      </c>
      <c r="B20" s="47">
        <f>135308170.28/1000000</f>
        <v>135.30817028000001</v>
      </c>
      <c r="C20" s="130"/>
      <c r="D20" s="131"/>
      <c r="E20" s="132"/>
      <c r="F20" s="133"/>
      <c r="G20" s="134"/>
      <c r="H20" s="134"/>
      <c r="I20" s="240">
        <f t="shared" si="0"/>
        <v>135.30817028000001</v>
      </c>
      <c r="L20" s="30"/>
      <c r="M20" s="30"/>
    </row>
    <row r="21" spans="1:13" x14ac:dyDescent="0.25">
      <c r="A21" s="2">
        <v>44242</v>
      </c>
      <c r="B21" s="47">
        <f>142807911.58/1000000</f>
        <v>142.80791158000002</v>
      </c>
      <c r="C21" s="130"/>
      <c r="D21" s="77">
        <f>23048.9/1000000</f>
        <v>2.3048900000000001E-2</v>
      </c>
      <c r="E21" s="136"/>
      <c r="F21" s="137"/>
      <c r="G21" s="135"/>
      <c r="H21" s="135"/>
      <c r="I21" s="240">
        <f t="shared" si="0"/>
        <v>142.83096048000002</v>
      </c>
      <c r="L21" s="30"/>
      <c r="M21" s="30"/>
    </row>
    <row r="22" spans="1:13" x14ac:dyDescent="0.25">
      <c r="A22" s="2">
        <v>44250</v>
      </c>
      <c r="B22" s="47" t="s">
        <v>3</v>
      </c>
      <c r="C22" s="73">
        <f>95992038.08/1000000</f>
        <v>95.99203808</v>
      </c>
      <c r="D22" s="76" t="s">
        <v>3</v>
      </c>
      <c r="E22" s="136"/>
      <c r="F22" s="137"/>
      <c r="G22" s="135"/>
      <c r="H22" s="135"/>
      <c r="I22" s="240">
        <f t="shared" si="0"/>
        <v>95.99203808</v>
      </c>
      <c r="L22" s="30"/>
      <c r="M22" s="30"/>
    </row>
    <row r="23" spans="1:13" x14ac:dyDescent="0.25">
      <c r="A23" s="2">
        <v>44270</v>
      </c>
      <c r="B23" s="47">
        <f>187549558.53/1000000</f>
        <v>187.54955853000001</v>
      </c>
      <c r="C23" s="75">
        <f>2650990.44/1000000</f>
        <v>2.6509904399999997</v>
      </c>
      <c r="D23" s="77">
        <f>89920.2/1000000</f>
        <v>8.9920199999999992E-2</v>
      </c>
      <c r="E23" s="136"/>
      <c r="F23" s="137"/>
      <c r="G23" s="135"/>
      <c r="H23" s="135"/>
      <c r="I23" s="240">
        <f t="shared" si="0"/>
        <v>190.29046916999999</v>
      </c>
      <c r="L23" s="30"/>
      <c r="M23" s="30"/>
    </row>
    <row r="24" spans="1:13" x14ac:dyDescent="0.25">
      <c r="A24" s="2">
        <v>44281</v>
      </c>
      <c r="B24" s="46" t="s">
        <v>3</v>
      </c>
      <c r="C24" s="75">
        <f>218676447.04/1000000</f>
        <v>218.67644704</v>
      </c>
      <c r="D24" s="77" t="s">
        <v>3</v>
      </c>
      <c r="E24" s="138"/>
      <c r="F24" s="137"/>
      <c r="G24" s="134"/>
      <c r="H24" s="134"/>
      <c r="I24" s="240">
        <f t="shared" si="0"/>
        <v>218.67644704</v>
      </c>
      <c r="L24" s="30"/>
      <c r="M24" s="30"/>
    </row>
    <row r="25" spans="1:13" x14ac:dyDescent="0.25">
      <c r="A25" s="2">
        <v>44301</v>
      </c>
      <c r="B25" s="47">
        <f>266524163.25/1000000</f>
        <v>266.52416325000002</v>
      </c>
      <c r="C25" s="73" t="s">
        <v>3</v>
      </c>
      <c r="D25" s="77">
        <f>272066.2/1000000</f>
        <v>0.27206620000000004</v>
      </c>
      <c r="E25" s="138"/>
      <c r="F25" s="137"/>
      <c r="G25" s="135"/>
      <c r="H25" s="135"/>
      <c r="I25" s="240">
        <f t="shared" si="0"/>
        <v>266.79622945</v>
      </c>
      <c r="L25" s="30"/>
      <c r="M25" s="30"/>
    </row>
    <row r="26" spans="1:13" x14ac:dyDescent="0.25">
      <c r="A26" s="2">
        <v>44313</v>
      </c>
      <c r="B26" s="47" t="s">
        <v>3</v>
      </c>
      <c r="C26" s="73">
        <f>127886795.82/1000000</f>
        <v>127.88679581999999</v>
      </c>
      <c r="D26" s="76" t="s">
        <v>3</v>
      </c>
      <c r="E26" s="136"/>
      <c r="F26" s="137"/>
      <c r="G26" s="135"/>
      <c r="H26" s="135"/>
      <c r="I26" s="240">
        <f t="shared" si="0"/>
        <v>127.88679581999999</v>
      </c>
      <c r="L26" s="30"/>
      <c r="M26" s="30"/>
    </row>
    <row r="27" spans="1:13" x14ac:dyDescent="0.25">
      <c r="A27" s="2">
        <v>44326</v>
      </c>
      <c r="B27" s="47" t="s">
        <v>3</v>
      </c>
      <c r="C27" s="92">
        <f>(102381469.62-127703195.81)/1000000</f>
        <v>-25.321726189999996</v>
      </c>
      <c r="D27" s="78" t="s">
        <v>3</v>
      </c>
      <c r="E27" s="11">
        <f>58971.44/1000000</f>
        <v>5.897144E-2</v>
      </c>
      <c r="F27" s="137"/>
      <c r="G27" s="135"/>
      <c r="H27" s="135"/>
      <c r="I27" s="242">
        <f t="shared" si="0"/>
        <v>-25.262754749999996</v>
      </c>
      <c r="L27" s="30"/>
      <c r="M27" s="30"/>
    </row>
    <row r="28" spans="1:13" x14ac:dyDescent="0.25">
      <c r="A28" s="2">
        <v>44333</v>
      </c>
      <c r="B28" s="73">
        <f>687948250.85/1000000</f>
        <v>687.94825085000002</v>
      </c>
      <c r="C28" s="74" t="s">
        <v>3</v>
      </c>
      <c r="D28" s="77">
        <f>454213.7/1000000</f>
        <v>0.4542137</v>
      </c>
      <c r="E28" s="11">
        <f>2796361.33/1000000</f>
        <v>2.7963613299999999</v>
      </c>
      <c r="F28" s="137"/>
      <c r="G28" s="135"/>
      <c r="H28" s="135"/>
      <c r="I28" s="240">
        <f t="shared" si="0"/>
        <v>691.19882587999996</v>
      </c>
      <c r="L28" s="30"/>
      <c r="M28" s="30"/>
    </row>
    <row r="29" spans="1:13" x14ac:dyDescent="0.25">
      <c r="A29" s="67">
        <v>44342</v>
      </c>
      <c r="B29" s="73" t="s">
        <v>3</v>
      </c>
      <c r="C29" s="73">
        <f>190871493.73/1000000</f>
        <v>190.87149373</v>
      </c>
      <c r="D29" s="80" t="s">
        <v>3</v>
      </c>
      <c r="E29" s="11">
        <f>4645457.7 /1000000</f>
        <v>4.6454577000000006</v>
      </c>
      <c r="F29" s="137"/>
      <c r="G29" s="135"/>
      <c r="H29" s="135"/>
      <c r="I29" s="240">
        <f t="shared" si="0"/>
        <v>195.51695143000001</v>
      </c>
      <c r="L29" s="30"/>
      <c r="M29" s="30"/>
    </row>
    <row r="30" spans="1:13" x14ac:dyDescent="0.25">
      <c r="A30" s="67">
        <v>44355</v>
      </c>
      <c r="B30" s="73" t="s">
        <v>3</v>
      </c>
      <c r="C30" s="9" t="s">
        <v>3</v>
      </c>
      <c r="D30" s="80" t="s">
        <v>3</v>
      </c>
      <c r="E30" s="11">
        <f>387221.67/1000000</f>
        <v>0.38722166999999996</v>
      </c>
      <c r="F30" s="137"/>
      <c r="G30" s="135"/>
      <c r="H30" s="135"/>
      <c r="I30" s="240">
        <f t="shared" si="0"/>
        <v>0.38722166999999996</v>
      </c>
      <c r="L30" s="30"/>
      <c r="M30" s="30"/>
    </row>
    <row r="31" spans="1:13" x14ac:dyDescent="0.25">
      <c r="A31" s="67">
        <v>44362</v>
      </c>
      <c r="B31" s="73">
        <f>1195029144.12/1000000</f>
        <v>1195.02914412</v>
      </c>
      <c r="C31" s="9">
        <f>6260953.34/1000000</f>
        <v>6.2609533399999995</v>
      </c>
      <c r="D31" s="77">
        <f>5336808.4/1000000</f>
        <v>5.3368084000000007</v>
      </c>
      <c r="E31" s="11">
        <f>14117134.22/1000000</f>
        <v>14.117134220000001</v>
      </c>
      <c r="F31" s="137"/>
      <c r="G31" s="135"/>
      <c r="H31" s="135"/>
      <c r="I31" s="240">
        <f t="shared" si="0"/>
        <v>1220.7440400800001</v>
      </c>
      <c r="L31" s="30"/>
      <c r="M31" s="30"/>
    </row>
    <row r="32" spans="1:13" x14ac:dyDescent="0.25">
      <c r="A32" s="82">
        <v>44372</v>
      </c>
      <c r="B32" s="75" t="s">
        <v>3</v>
      </c>
      <c r="C32" s="9">
        <f>203711446.93/1000000</f>
        <v>203.71144692999999</v>
      </c>
      <c r="D32" s="83" t="s">
        <v>3</v>
      </c>
      <c r="E32" s="11">
        <f>22907574.11/1000000</f>
        <v>22.907574109999999</v>
      </c>
      <c r="F32" s="139"/>
      <c r="G32" s="135"/>
      <c r="H32" s="135"/>
      <c r="I32" s="240">
        <f t="shared" si="0"/>
        <v>226.61902104000001</v>
      </c>
      <c r="L32" s="30"/>
      <c r="M32" s="30"/>
    </row>
    <row r="33" spans="1:13" x14ac:dyDescent="0.25">
      <c r="A33" s="2">
        <v>44385</v>
      </c>
      <c r="B33" s="73" t="s">
        <v>3</v>
      </c>
      <c r="C33" s="9" t="s">
        <v>3</v>
      </c>
      <c r="D33" s="80" t="s">
        <v>3</v>
      </c>
      <c r="E33" s="11">
        <f>481372.91/1000000</f>
        <v>0.48137290999999999</v>
      </c>
      <c r="F33" s="79">
        <f>712902/1000000</f>
        <v>0.71290200000000004</v>
      </c>
      <c r="G33" s="135"/>
      <c r="H33" s="135"/>
      <c r="I33" s="240">
        <f>SUM(B33:F33)</f>
        <v>1.1942749100000001</v>
      </c>
      <c r="L33" s="30"/>
      <c r="M33" s="30"/>
    </row>
    <row r="34" spans="1:13" x14ac:dyDescent="0.25">
      <c r="A34" s="2">
        <v>44392</v>
      </c>
      <c r="B34" s="110">
        <f>(1250517410.88-5389103.3-2143818)/1000000</f>
        <v>1242.9844895800002</v>
      </c>
      <c r="C34" s="9" t="s">
        <v>3</v>
      </c>
      <c r="D34" s="11">
        <f>(4382328.2-58242)/1000000</f>
        <v>4.3240862</v>
      </c>
      <c r="E34" s="11">
        <f>17666845.01/1000000</f>
        <v>17.666845010000003</v>
      </c>
      <c r="F34" s="79">
        <f>(58242+34908066)/1000000</f>
        <v>34.966307999999998</v>
      </c>
      <c r="G34" s="135"/>
      <c r="H34" s="135"/>
      <c r="I34" s="240">
        <f>SUM(B34:F34)</f>
        <v>1299.9417287900003</v>
      </c>
      <c r="L34" s="30"/>
      <c r="M34" s="30"/>
    </row>
    <row r="35" spans="1:13" x14ac:dyDescent="0.25">
      <c r="A35" s="2">
        <v>44404</v>
      </c>
      <c r="B35" s="73" t="s">
        <v>3</v>
      </c>
      <c r="C35" s="9">
        <f>219026168.71/1000000</f>
        <v>219.02616871000001</v>
      </c>
      <c r="D35" s="11" t="s">
        <v>3</v>
      </c>
      <c r="E35" s="11">
        <f>31293900.43/1000000</f>
        <v>31.293900430000001</v>
      </c>
      <c r="F35" s="79">
        <f>72346908/1000000</f>
        <v>72.346907999999999</v>
      </c>
      <c r="G35" s="91">
        <f>1100/1000000</f>
        <v>1.1000000000000001E-3</v>
      </c>
      <c r="H35" s="135"/>
      <c r="I35" s="240">
        <f t="shared" ref="I35:I53" si="2">SUM(B35:G35)</f>
        <v>322.66807714000004</v>
      </c>
      <c r="L35" s="30"/>
      <c r="M35" s="30"/>
    </row>
    <row r="36" spans="1:13" x14ac:dyDescent="0.25">
      <c r="A36" s="2">
        <v>44417</v>
      </c>
      <c r="B36" s="73" t="s">
        <v>3</v>
      </c>
      <c r="C36" s="9" t="s">
        <v>3</v>
      </c>
      <c r="D36" s="11" t="s">
        <v>3</v>
      </c>
      <c r="E36" s="11">
        <f>409331.91/1000000</f>
        <v>0.40933190999999997</v>
      </c>
      <c r="F36" s="79">
        <f>1379160/1000000</f>
        <v>1.3791599999999999</v>
      </c>
      <c r="G36" s="47" t="s">
        <v>3</v>
      </c>
      <c r="H36" s="135"/>
      <c r="I36" s="240">
        <f t="shared" si="2"/>
        <v>1.7884919099999999</v>
      </c>
      <c r="L36" s="30"/>
      <c r="M36" s="30"/>
    </row>
    <row r="37" spans="1:13" x14ac:dyDescent="0.25">
      <c r="A37" s="2">
        <v>44424</v>
      </c>
      <c r="B37" s="73">
        <f>457608677.32/1000000</f>
        <v>457.60867731999997</v>
      </c>
      <c r="C37" s="9" t="s">
        <v>3</v>
      </c>
      <c r="D37" s="11">
        <f>(11536065.8-364776)/1000000</f>
        <v>11.1712898</v>
      </c>
      <c r="E37" s="11">
        <f>12628880.86/1000000</f>
        <v>12.628880859999999</v>
      </c>
      <c r="F37" s="93">
        <f>(62788656+364776)/1000000</f>
        <v>63.153432000000002</v>
      </c>
      <c r="G37" s="47" t="s">
        <v>3</v>
      </c>
      <c r="H37" s="135"/>
      <c r="I37" s="240">
        <f t="shared" si="2"/>
        <v>544.56227997999997</v>
      </c>
      <c r="L37" s="30"/>
      <c r="M37" s="30"/>
    </row>
    <row r="38" spans="1:13" x14ac:dyDescent="0.25">
      <c r="A38" s="86">
        <v>44434</v>
      </c>
      <c r="B38" s="87" t="s">
        <v>3</v>
      </c>
      <c r="C38" s="87">
        <f>119366832.92/1000000</f>
        <v>119.36683292000001</v>
      </c>
      <c r="D38" s="89" t="s">
        <v>3</v>
      </c>
      <c r="E38" s="29">
        <f>26336496.52/1000000</f>
        <v>26.336496520000001</v>
      </c>
      <c r="F38" s="95">
        <f>108006132/1000000</f>
        <v>108.00613199999999</v>
      </c>
      <c r="G38" s="48" t="s">
        <v>3</v>
      </c>
      <c r="H38" s="135"/>
      <c r="I38" s="243">
        <f t="shared" si="2"/>
        <v>253.70946143999998</v>
      </c>
      <c r="L38" s="30"/>
      <c r="M38" s="30"/>
    </row>
    <row r="39" spans="1:13" x14ac:dyDescent="0.25">
      <c r="A39" s="2">
        <v>44447</v>
      </c>
      <c r="B39" s="47" t="s">
        <v>3</v>
      </c>
      <c r="C39" s="73">
        <f>364668351.04/1000000</f>
        <v>364.66835104</v>
      </c>
      <c r="D39" s="80" t="s">
        <v>3</v>
      </c>
      <c r="E39" s="11">
        <f>196528.62/1000000</f>
        <v>0.19652861999999999</v>
      </c>
      <c r="F39" s="93">
        <f>540330/1000000</f>
        <v>0.54032999999999998</v>
      </c>
      <c r="G39" s="47" t="s">
        <v>3</v>
      </c>
      <c r="H39" s="134"/>
      <c r="I39" s="239">
        <f t="shared" si="2"/>
        <v>365.40520965999997</v>
      </c>
      <c r="L39" s="30"/>
      <c r="M39" s="30"/>
    </row>
    <row r="40" spans="1:13" x14ac:dyDescent="0.25">
      <c r="A40" s="2">
        <v>44454</v>
      </c>
      <c r="B40" s="47">
        <f>649612242.81/1000000</f>
        <v>649.61224281</v>
      </c>
      <c r="C40" s="73" t="s">
        <v>3</v>
      </c>
      <c r="D40" s="11">
        <f>(527268068.2-8202296)/1000000</f>
        <v>519.06577219999997</v>
      </c>
      <c r="E40" s="11">
        <f>7335422.37/1000000</f>
        <v>7.3354223699999999</v>
      </c>
      <c r="F40" s="93">
        <f>(25025064+8202296)/1000000</f>
        <v>33.227359999999997</v>
      </c>
      <c r="G40" s="47" t="s">
        <v>3</v>
      </c>
      <c r="H40" s="135"/>
      <c r="I40" s="239">
        <f t="shared" si="2"/>
        <v>1209.24079738</v>
      </c>
      <c r="L40" s="30"/>
      <c r="M40" s="30"/>
    </row>
    <row r="41" spans="1:13" x14ac:dyDescent="0.25">
      <c r="A41" s="2">
        <v>44466</v>
      </c>
      <c r="B41" s="73" t="s">
        <v>3</v>
      </c>
      <c r="C41" s="9">
        <f>(78167447.27+15677585.43)/1000000</f>
        <v>93.84503269999999</v>
      </c>
      <c r="D41" s="11" t="s">
        <v>3</v>
      </c>
      <c r="E41" s="11">
        <f>14482533.59/1000000</f>
        <v>14.482533589999999</v>
      </c>
      <c r="F41" s="79">
        <f>65469258/1000000</f>
        <v>65.469257999999996</v>
      </c>
      <c r="G41" s="47" t="s">
        <v>3</v>
      </c>
      <c r="H41" s="135"/>
      <c r="I41" s="240">
        <f t="shared" si="2"/>
        <v>173.79682428999999</v>
      </c>
      <c r="L41" s="30"/>
      <c r="M41" s="30"/>
    </row>
    <row r="42" spans="1:13" x14ac:dyDescent="0.25">
      <c r="A42" s="2">
        <v>44477</v>
      </c>
      <c r="B42" s="73" t="s">
        <v>3</v>
      </c>
      <c r="C42" s="9" t="s">
        <v>3</v>
      </c>
      <c r="D42" s="11" t="s">
        <v>3</v>
      </c>
      <c r="E42" s="11">
        <f>112057.71/1000000</f>
        <v>0.11205771</v>
      </c>
      <c r="F42" s="79">
        <f>307760/1000000</f>
        <v>0.30775999999999998</v>
      </c>
      <c r="G42" s="91" t="s">
        <v>3</v>
      </c>
      <c r="H42" s="135"/>
      <c r="I42" s="240">
        <f t="shared" si="2"/>
        <v>0.41981771000000001</v>
      </c>
      <c r="L42" s="30"/>
      <c r="M42" s="30"/>
    </row>
    <row r="43" spans="1:13" x14ac:dyDescent="0.25">
      <c r="A43" s="2">
        <v>44484</v>
      </c>
      <c r="B43" s="73">
        <f>(486158078.71-471131.3)/1000000</f>
        <v>485.68694740999996</v>
      </c>
      <c r="C43" s="9" t="s">
        <v>3</v>
      </c>
      <c r="D43" s="11">
        <f>(113437232.8-1232-2158524)/1000000</f>
        <v>111.2774768</v>
      </c>
      <c r="E43" s="11">
        <f>5164612.46/1000000</f>
        <v>5.1646124599999998</v>
      </c>
      <c r="F43" s="79">
        <f>(16939382+1232+2158524)/1000000</f>
        <v>19.099138</v>
      </c>
      <c r="G43" s="47" t="s">
        <v>3</v>
      </c>
      <c r="H43" s="135"/>
      <c r="I43" s="240">
        <f t="shared" si="2"/>
        <v>621.22817466999993</v>
      </c>
      <c r="L43" s="30"/>
      <c r="M43" s="30"/>
    </row>
    <row r="44" spans="1:13" x14ac:dyDescent="0.25">
      <c r="A44" s="2">
        <v>44495</v>
      </c>
      <c r="B44" s="73" t="s">
        <v>3</v>
      </c>
      <c r="C44" s="9">
        <f>77320240.23/1000000</f>
        <v>77.32024023000001</v>
      </c>
      <c r="D44" s="11" t="s">
        <v>3</v>
      </c>
      <c r="E44" s="11">
        <f>9010262.78/1000000</f>
        <v>9.0102627799999997</v>
      </c>
      <c r="F44" s="93">
        <f>29718322/1000000</f>
        <v>29.718322000000001</v>
      </c>
      <c r="G44" s="47">
        <f>10100/1000000</f>
        <v>1.01E-2</v>
      </c>
      <c r="H44" s="135"/>
      <c r="I44" s="240">
        <f t="shared" si="2"/>
        <v>116.05892501000001</v>
      </c>
      <c r="L44" s="30"/>
      <c r="M44" s="30"/>
    </row>
    <row r="45" spans="1:13" x14ac:dyDescent="0.25">
      <c r="A45" s="86">
        <v>44508</v>
      </c>
      <c r="B45" s="87" t="s">
        <v>3</v>
      </c>
      <c r="C45" s="87" t="s">
        <v>3</v>
      </c>
      <c r="D45" s="89" t="s">
        <v>3</v>
      </c>
      <c r="E45" s="95">
        <f>90916.45/1000000</f>
        <v>9.0916449999999996E-2</v>
      </c>
      <c r="F45" s="95">
        <f>226788/1000000</f>
        <v>0.22678799999999999</v>
      </c>
      <c r="G45" s="48" t="s">
        <v>3</v>
      </c>
      <c r="H45" s="135"/>
      <c r="I45" s="240">
        <f t="shared" si="2"/>
        <v>0.31770444999999997</v>
      </c>
      <c r="L45" s="30"/>
      <c r="M45" s="30"/>
    </row>
    <row r="46" spans="1:13" x14ac:dyDescent="0.25">
      <c r="A46" s="2">
        <v>44515</v>
      </c>
      <c r="B46" s="47">
        <f>(372964795.16-416567.19)/1000000</f>
        <v>372.54822797000003</v>
      </c>
      <c r="C46" s="73" t="s">
        <v>3</v>
      </c>
      <c r="D46" s="11">
        <f>(4448442.5-326916-1806)/1000000</f>
        <v>4.1197204999999997</v>
      </c>
      <c r="E46" s="11">
        <f>4352490.02/1000000</f>
        <v>4.3524900199999994</v>
      </c>
      <c r="F46" s="93">
        <f>(10927952+326916+1806)/1000000</f>
        <v>11.256674</v>
      </c>
      <c r="G46" s="47" t="s">
        <v>3</v>
      </c>
      <c r="H46" s="135"/>
      <c r="I46" s="240">
        <f t="shared" si="2"/>
        <v>392.27711249000004</v>
      </c>
      <c r="L46" s="30"/>
      <c r="M46" s="30"/>
    </row>
    <row r="47" spans="1:13" x14ac:dyDescent="0.25">
      <c r="A47" s="2">
        <v>44525</v>
      </c>
      <c r="B47" s="47" t="s">
        <v>3</v>
      </c>
      <c r="C47" s="73">
        <f>105758933.95/1000000</f>
        <v>105.75893395</v>
      </c>
      <c r="D47" s="11" t="s">
        <v>3</v>
      </c>
      <c r="E47" s="11">
        <f>8494076.23/1000000</f>
        <v>8.494076230000001</v>
      </c>
      <c r="F47" s="93">
        <f>5276710/1000000</f>
        <v>5.2767099999999996</v>
      </c>
      <c r="G47" s="47" t="s">
        <v>3</v>
      </c>
      <c r="H47" s="135"/>
      <c r="I47" s="240">
        <f t="shared" si="2"/>
        <v>119.52972018</v>
      </c>
      <c r="L47" s="30"/>
      <c r="M47" s="30"/>
    </row>
    <row r="48" spans="1:13" x14ac:dyDescent="0.25">
      <c r="A48" s="2">
        <v>44538</v>
      </c>
      <c r="B48" s="47" t="s">
        <v>3</v>
      </c>
      <c r="C48" s="73">
        <f>1742674.14/1000000</f>
        <v>1.7426741399999999</v>
      </c>
      <c r="D48" s="80" t="s">
        <v>3</v>
      </c>
      <c r="E48" s="11">
        <f>330003.72/1000000</f>
        <v>0.33000371999999994</v>
      </c>
      <c r="F48" s="93">
        <f>308452/1000000</f>
        <v>0.308452</v>
      </c>
      <c r="G48" s="47" t="s">
        <v>3</v>
      </c>
      <c r="H48" s="135"/>
      <c r="I48" s="240">
        <f t="shared" si="2"/>
        <v>2.3811298599999997</v>
      </c>
      <c r="L48" s="30"/>
      <c r="M48" s="30"/>
    </row>
    <row r="49" spans="1:13" x14ac:dyDescent="0.25">
      <c r="A49" s="2">
        <v>44545</v>
      </c>
      <c r="B49" s="47">
        <f>(405679920.14-146698.02)/1000000</f>
        <v>405.53322212</v>
      </c>
      <c r="C49" s="73" t="s">
        <v>3</v>
      </c>
      <c r="D49" s="11">
        <f>(249499435.6-22368154-29682)/1000000</f>
        <v>227.10159959999999</v>
      </c>
      <c r="E49" s="11">
        <f>12797057.29/1000000</f>
        <v>12.79705729</v>
      </c>
      <c r="F49" s="93">
        <f>(14986012+22368154+29682)/1000000</f>
        <v>37.383848</v>
      </c>
      <c r="G49" s="47" t="s">
        <v>3</v>
      </c>
      <c r="H49" s="135"/>
      <c r="I49" s="240">
        <f t="shared" si="2"/>
        <v>682.81572701000005</v>
      </c>
      <c r="L49" s="30"/>
      <c r="M49" s="30"/>
    </row>
    <row r="50" spans="1:13" x14ac:dyDescent="0.25">
      <c r="A50" s="2">
        <v>44557</v>
      </c>
      <c r="B50" s="47" t="s">
        <v>3</v>
      </c>
      <c r="C50" s="73">
        <f>87914833.33/1000000</f>
        <v>87.914833329999993</v>
      </c>
      <c r="D50" s="11" t="s">
        <v>3</v>
      </c>
      <c r="E50" s="11">
        <f>25608787.9/1000000</f>
        <v>25.608787899999999</v>
      </c>
      <c r="F50" s="93">
        <f>30413384/1000000</f>
        <v>30.413384000000001</v>
      </c>
      <c r="G50" s="47" t="s">
        <v>3</v>
      </c>
      <c r="H50" s="135"/>
      <c r="I50" s="240">
        <f t="shared" si="2"/>
        <v>143.93700522999998</v>
      </c>
      <c r="L50" s="30"/>
      <c r="M50" s="30"/>
    </row>
    <row r="51" spans="1:13" x14ac:dyDescent="0.25">
      <c r="A51" s="220" t="s">
        <v>72</v>
      </c>
      <c r="B51" s="221">
        <f t="shared" ref="B51:I51" si="3">SUM(B20:B50)</f>
        <v>6229.1410058199999</v>
      </c>
      <c r="C51" s="222">
        <f t="shared" si="3"/>
        <v>1890.3715062100002</v>
      </c>
      <c r="D51" s="223">
        <f t="shared" si="3"/>
        <v>883.23600249999993</v>
      </c>
      <c r="E51" s="223">
        <f t="shared" si="3"/>
        <v>221.70429725000002</v>
      </c>
      <c r="F51" s="224">
        <f t="shared" si="3"/>
        <v>513.79286599999989</v>
      </c>
      <c r="G51" s="221">
        <f t="shared" si="3"/>
        <v>1.12E-2</v>
      </c>
      <c r="H51" s="221">
        <f t="shared" si="3"/>
        <v>0</v>
      </c>
      <c r="I51" s="241">
        <f t="shared" si="3"/>
        <v>9738.2568777799988</v>
      </c>
      <c r="L51" s="30"/>
      <c r="M51" s="30"/>
    </row>
    <row r="52" spans="1:13" x14ac:dyDescent="0.25">
      <c r="A52" s="67">
        <v>44578</v>
      </c>
      <c r="B52" s="73">
        <f>(1060602043.19-978747.95)/1000000</f>
        <v>1059.6232952400001</v>
      </c>
      <c r="C52" s="9" t="s">
        <v>3</v>
      </c>
      <c r="D52" s="11">
        <f>(172387722.1-14642132-78824)/1000000</f>
        <v>157.66676609999999</v>
      </c>
      <c r="E52" s="77">
        <f>22384972.64/1000000</f>
        <v>22.384972640000001</v>
      </c>
      <c r="F52" s="116">
        <f>(36744752+14642132+78824)/1000000</f>
        <v>51.465707999999999</v>
      </c>
      <c r="G52" s="47" t="s">
        <v>3</v>
      </c>
      <c r="H52" s="135"/>
      <c r="I52" s="239">
        <f t="shared" si="2"/>
        <v>1291.14074198</v>
      </c>
      <c r="L52" s="30"/>
      <c r="M52" s="30"/>
    </row>
    <row r="53" spans="1:13" x14ac:dyDescent="0.25">
      <c r="A53" s="67">
        <v>44587</v>
      </c>
      <c r="B53" s="73" t="s">
        <v>3</v>
      </c>
      <c r="C53" s="9">
        <f>89901660.76/1000000</f>
        <v>89.901660759999999</v>
      </c>
      <c r="D53" s="80" t="s">
        <v>3</v>
      </c>
      <c r="E53" s="77">
        <f>47640045.85/1000000</f>
        <v>47.64004585</v>
      </c>
      <c r="F53" s="116">
        <f>67093224/1000000</f>
        <v>67.093224000000006</v>
      </c>
      <c r="G53" s="47">
        <f>30800/1000000</f>
        <v>3.0800000000000001E-2</v>
      </c>
      <c r="H53" s="135"/>
      <c r="I53" s="239">
        <f t="shared" si="2"/>
        <v>204.66573061000003</v>
      </c>
      <c r="L53" s="30"/>
      <c r="M53" s="30"/>
    </row>
    <row r="54" spans="1:13" x14ac:dyDescent="0.25">
      <c r="A54" s="67">
        <v>44607</v>
      </c>
      <c r="B54" s="73">
        <f>(1600841520.71-465529)/1000000</f>
        <v>1600.3759917100001</v>
      </c>
      <c r="C54" s="9" t="s">
        <v>3</v>
      </c>
      <c r="D54" s="11">
        <f>(75416088.8-4672980-63846)/1000000</f>
        <v>70.679262800000004</v>
      </c>
      <c r="E54" s="11">
        <f>14227500.87/1000000</f>
        <v>14.227500869999998</v>
      </c>
      <c r="F54" s="116">
        <f>(17494264+4672980+63846)/1000000</f>
        <v>22.231089999999998</v>
      </c>
      <c r="G54" s="47" t="s">
        <v>3</v>
      </c>
      <c r="H54" s="47">
        <f>19520/1000000</f>
        <v>1.9519999999999999E-2</v>
      </c>
      <c r="I54" s="239">
        <f t="shared" ref="I54:I57" si="4">SUM(B54:H54)</f>
        <v>1707.5333653800003</v>
      </c>
      <c r="L54" s="30"/>
      <c r="M54" s="30"/>
    </row>
    <row r="55" spans="1:13" x14ac:dyDescent="0.25">
      <c r="A55" s="67">
        <v>44615</v>
      </c>
      <c r="B55" s="73" t="s">
        <v>3</v>
      </c>
      <c r="C55" s="9">
        <f>(119364447.27+3169593.23)/1000000</f>
        <v>122.5340405</v>
      </c>
      <c r="D55" s="80" t="s">
        <v>3</v>
      </c>
      <c r="E55" s="77">
        <f>37579939.03/1000000</f>
        <v>37.579939029999998</v>
      </c>
      <c r="F55" s="116">
        <f>49442618/1000000</f>
        <v>49.442618000000003</v>
      </c>
      <c r="G55" s="47" t="s">
        <v>3</v>
      </c>
      <c r="H55" s="47">
        <f>60233.11/1000000</f>
        <v>6.0233109999999999E-2</v>
      </c>
      <c r="I55" s="239">
        <f t="shared" si="4"/>
        <v>209.61683064000002</v>
      </c>
      <c r="L55" s="30"/>
      <c r="M55" s="30"/>
    </row>
    <row r="56" spans="1:13" x14ac:dyDescent="0.25">
      <c r="A56" s="67">
        <v>44635</v>
      </c>
      <c r="B56" s="73">
        <f>(1535540302.62-308927.05)/1000000</f>
        <v>1535.23137557</v>
      </c>
      <c r="C56" s="9" t="s">
        <v>3</v>
      </c>
      <c r="D56" s="11">
        <f>(69936+692728614.8-37733138-98958)/1000000</f>
        <v>654.96645479999995</v>
      </c>
      <c r="E56" s="77">
        <f>6204709.81/1000000</f>
        <v>6.2047098099999998</v>
      </c>
      <c r="F56" s="116">
        <f>(11285416+37733138+98958)/1000000</f>
        <v>49.117511999999998</v>
      </c>
      <c r="G56" s="47" t="s">
        <v>3</v>
      </c>
      <c r="H56" s="47">
        <f>51142.1/1000000</f>
        <v>5.1142099999999996E-2</v>
      </c>
      <c r="I56" s="239">
        <f t="shared" si="4"/>
        <v>2245.5711942799999</v>
      </c>
      <c r="J56" s="152"/>
      <c r="L56" s="30"/>
      <c r="M56" s="30"/>
    </row>
    <row r="57" spans="1:13" x14ac:dyDescent="0.25">
      <c r="A57" s="67">
        <v>44648</v>
      </c>
      <c r="B57" s="73" t="s">
        <v>3</v>
      </c>
      <c r="C57" s="9">
        <f>70149622.82/1000000</f>
        <v>70.14962281999999</v>
      </c>
      <c r="D57" s="11">
        <f>406574/1000000</f>
        <v>0.40657399999999999</v>
      </c>
      <c r="E57" s="77">
        <f>19796621.73/1000000</f>
        <v>19.796621730000002</v>
      </c>
      <c r="F57" s="116">
        <f>29342798/1000000</f>
        <v>29.342797999999998</v>
      </c>
      <c r="G57" s="47" t="s">
        <v>3</v>
      </c>
      <c r="H57" s="47">
        <f>154299.02/1000000</f>
        <v>0.15429901999999998</v>
      </c>
      <c r="I57" s="239">
        <f t="shared" si="4"/>
        <v>119.84991556999999</v>
      </c>
      <c r="J57" s="152"/>
      <c r="L57" s="30"/>
      <c r="M57" s="30"/>
    </row>
    <row r="58" spans="1:13" x14ac:dyDescent="0.25">
      <c r="A58" s="67">
        <v>44659</v>
      </c>
      <c r="B58" s="73" t="s">
        <v>3</v>
      </c>
      <c r="C58" s="9">
        <f>(316018359.51-5983461.3)/1000000</f>
        <v>310.03489820999999</v>
      </c>
      <c r="D58" s="11" t="s">
        <v>3</v>
      </c>
      <c r="E58" s="77" t="s">
        <v>3</v>
      </c>
      <c r="F58" s="116" t="s">
        <v>3</v>
      </c>
      <c r="G58" s="47" t="s">
        <v>3</v>
      </c>
      <c r="H58" s="47" t="s">
        <v>3</v>
      </c>
      <c r="I58" s="239">
        <f t="shared" ref="I58:I64" si="5">SUM(B58:H58)</f>
        <v>310.03489820999999</v>
      </c>
      <c r="J58" s="152"/>
      <c r="L58" s="30"/>
      <c r="M58" s="30"/>
    </row>
    <row r="59" spans="1:13" x14ac:dyDescent="0.25">
      <c r="A59" s="67">
        <v>44670</v>
      </c>
      <c r="B59" s="110">
        <f>(1574241030.09-848598.07)/1000000</f>
        <v>1573.3924320199999</v>
      </c>
      <c r="C59" s="9" t="s">
        <v>3</v>
      </c>
      <c r="D59" s="11">
        <f>(130380+174059815.5-9793252-48122)/1000000</f>
        <v>164.34882150000001</v>
      </c>
      <c r="E59" s="77">
        <f>4536674.19/1000000</f>
        <v>4.5366741900000003</v>
      </c>
      <c r="F59" s="116">
        <f>(6557296+9793252+48122)/1000000</f>
        <v>16.398669999999999</v>
      </c>
      <c r="G59" s="47" t="s">
        <v>3</v>
      </c>
      <c r="H59" s="47">
        <f>119124.5/1000000</f>
        <v>0.11912449999999999</v>
      </c>
      <c r="I59" s="239">
        <f t="shared" si="5"/>
        <v>1758.7957222099999</v>
      </c>
      <c r="J59" s="152"/>
      <c r="L59" s="30"/>
      <c r="M59" s="30"/>
    </row>
    <row r="60" spans="1:13" x14ac:dyDescent="0.25">
      <c r="A60" s="86">
        <v>44677</v>
      </c>
      <c r="B60" s="87" t="s">
        <v>3</v>
      </c>
      <c r="C60" s="87">
        <f>83463217.26/1000000</f>
        <v>83.463217260000008</v>
      </c>
      <c r="D60" s="156">
        <f>946203/1000000</f>
        <v>0.94620300000000002</v>
      </c>
      <c r="E60" s="156">
        <f>13774307.47/1000000</f>
        <v>13.77430747</v>
      </c>
      <c r="F60" s="129">
        <f>19862618/1000000</f>
        <v>19.862618000000001</v>
      </c>
      <c r="G60" s="159">
        <f>27900/1000000</f>
        <v>2.7900000000000001E-2</v>
      </c>
      <c r="H60" s="88">
        <f>340228.06/1000000</f>
        <v>0.34022806</v>
      </c>
      <c r="I60" s="239">
        <f t="shared" si="5"/>
        <v>118.41447379</v>
      </c>
      <c r="J60" s="152"/>
      <c r="L60" s="30"/>
      <c r="M60" s="30"/>
    </row>
    <row r="61" spans="1:13" x14ac:dyDescent="0.25">
      <c r="A61" s="67">
        <v>44697</v>
      </c>
      <c r="B61" s="73">
        <f>(1105808024.93-144603.1)/1000000</f>
        <v>1105.6634218300001</v>
      </c>
      <c r="C61" s="9" t="s">
        <v>3</v>
      </c>
      <c r="D61" s="11">
        <f>(593471+30184075.2-1650716-38046)/1000000</f>
        <v>29.088784199999999</v>
      </c>
      <c r="E61" s="77">
        <f>3000371.77/1000000</f>
        <v>3.0003717700000001</v>
      </c>
      <c r="F61" s="93">
        <f>(4110938+1650716+38046)/1000000</f>
        <v>5.7996999999999996</v>
      </c>
      <c r="G61" s="47" t="s">
        <v>3</v>
      </c>
      <c r="H61" s="47">
        <f>108997.5/1000000</f>
        <v>0.1089975</v>
      </c>
      <c r="I61" s="239">
        <f t="shared" si="5"/>
        <v>1143.6612752999999</v>
      </c>
      <c r="J61" s="152"/>
      <c r="L61" s="30"/>
      <c r="M61" s="30"/>
    </row>
    <row r="62" spans="1:13" x14ac:dyDescent="0.25">
      <c r="A62" s="2">
        <v>44706</v>
      </c>
      <c r="B62" s="46" t="s">
        <v>3</v>
      </c>
      <c r="C62" s="9">
        <f>55764505.38/1000000</f>
        <v>55.764505380000003</v>
      </c>
      <c r="D62" s="11">
        <f>926517/1000000</f>
        <v>0.92651700000000003</v>
      </c>
      <c r="E62" s="77">
        <f>9096380.31/1000000</f>
        <v>9.0963803100000007</v>
      </c>
      <c r="F62" s="93">
        <f>11748132/1000000</f>
        <v>11.748132</v>
      </c>
      <c r="G62" s="47" t="s">
        <v>3</v>
      </c>
      <c r="H62" s="47">
        <f>135616.9/1000000</f>
        <v>0.13561689999999998</v>
      </c>
      <c r="I62" s="239">
        <f t="shared" si="5"/>
        <v>77.671151589999994</v>
      </c>
      <c r="J62" s="152"/>
      <c r="L62" s="30"/>
      <c r="M62" s="30"/>
    </row>
    <row r="63" spans="1:13" x14ac:dyDescent="0.25">
      <c r="A63" s="2">
        <v>44713</v>
      </c>
      <c r="B63" s="46" t="s">
        <v>3</v>
      </c>
      <c r="C63" s="163">
        <f>568971.24/1000000</f>
        <v>0.56897123999999999</v>
      </c>
      <c r="D63" s="77" t="s">
        <v>3</v>
      </c>
      <c r="E63" s="77" t="s">
        <v>3</v>
      </c>
      <c r="F63" s="93" t="s">
        <v>3</v>
      </c>
      <c r="G63" s="47" t="s">
        <v>3</v>
      </c>
      <c r="H63" s="47" t="s">
        <v>3</v>
      </c>
      <c r="I63" s="239">
        <f t="shared" si="5"/>
        <v>0.56897123999999999</v>
      </c>
      <c r="J63" s="152"/>
      <c r="L63" s="30"/>
      <c r="M63" s="30"/>
    </row>
    <row r="64" spans="1:13" x14ac:dyDescent="0.25">
      <c r="A64" s="2">
        <v>44727</v>
      </c>
      <c r="B64" s="46">
        <f>(943852978.74-414506.95)/1000000</f>
        <v>943.43847178999999</v>
      </c>
      <c r="C64" s="163" t="s">
        <v>3</v>
      </c>
      <c r="D64" s="77">
        <f>297.3325912+0.225792-16.364212-0.044618</f>
        <v>281.14955320000001</v>
      </c>
      <c r="E64" s="77">
        <v>2.2545683400000001</v>
      </c>
      <c r="F64" s="93">
        <f>2.221732+16.364212+0.044618</f>
        <v>18.630561999999998</v>
      </c>
      <c r="G64" s="47" t="s">
        <v>3</v>
      </c>
      <c r="H64" s="47">
        <v>7.2806499999999996E-2</v>
      </c>
      <c r="I64" s="239">
        <f t="shared" si="5"/>
        <v>1245.5459618300004</v>
      </c>
      <c r="J64" s="152"/>
      <c r="L64" s="30"/>
      <c r="M64" s="30"/>
    </row>
    <row r="65" spans="1:13" x14ac:dyDescent="0.25">
      <c r="A65" s="229">
        <v>44739</v>
      </c>
      <c r="B65" s="225" t="s">
        <v>3</v>
      </c>
      <c r="C65" s="226">
        <f>47680965.96/1000000</f>
        <v>47.680965960000002</v>
      </c>
      <c r="D65" s="227">
        <f>739509/1000000</f>
        <v>0.73950899999999997</v>
      </c>
      <c r="E65" s="227">
        <f>6488482.82/1000000</f>
        <v>6.4884828200000007</v>
      </c>
      <c r="F65" s="95">
        <f>7877996/1000000</f>
        <v>7.8779960000000004</v>
      </c>
      <c r="G65" s="48" t="s">
        <v>3</v>
      </c>
      <c r="H65" s="48">
        <f>340872.62/1000000</f>
        <v>0.34087262000000002</v>
      </c>
      <c r="I65" s="244">
        <f>SUM(B65:H65)</f>
        <v>63.127826400000004</v>
      </c>
      <c r="J65" s="152"/>
      <c r="L65" s="30"/>
      <c r="M65" s="30"/>
    </row>
    <row r="66" spans="1:13" x14ac:dyDescent="0.25">
      <c r="A66" s="229">
        <v>44750</v>
      </c>
      <c r="B66" s="225" t="s">
        <v>3</v>
      </c>
      <c r="C66" s="226">
        <f>(53300702.08-42313986.28)/1000000</f>
        <v>10.986715799999997</v>
      </c>
      <c r="D66" s="227" t="s">
        <v>3</v>
      </c>
      <c r="E66" s="227" t="s">
        <v>3</v>
      </c>
      <c r="F66" s="95" t="s">
        <v>3</v>
      </c>
      <c r="G66" s="48" t="s">
        <v>3</v>
      </c>
      <c r="H66" s="48" t="s">
        <v>3</v>
      </c>
      <c r="I66" s="244">
        <f>SUM(B66:H66)</f>
        <v>10.986715799999997</v>
      </c>
      <c r="J66" s="152"/>
      <c r="L66" s="30"/>
      <c r="M66" s="30"/>
    </row>
    <row r="67" spans="1:13" x14ac:dyDescent="0.25">
      <c r="A67" s="229">
        <v>44757</v>
      </c>
      <c r="B67" s="225">
        <f>(685473313.78-2679774.6)/1000000</f>
        <v>682.79353917999993</v>
      </c>
      <c r="C67" s="226" t="s">
        <v>3</v>
      </c>
      <c r="D67" s="227">
        <f>(230145623.6+167138-28946-14186940)/1000000</f>
        <v>216.0968756</v>
      </c>
      <c r="E67" s="227">
        <f>1504308.21/1000000</f>
        <v>1.50430821</v>
      </c>
      <c r="F67" s="95">
        <f>(1584742+28946+14186940)/1000000</f>
        <v>15.800628</v>
      </c>
      <c r="G67" s="48" t="s">
        <v>3</v>
      </c>
      <c r="H67" s="48">
        <f>92509.5/1000000</f>
        <v>9.2509499999999995E-2</v>
      </c>
      <c r="I67" s="244">
        <f t="shared" ref="I67:I68" si="6">SUM(B67:H67)</f>
        <v>916.28786048999984</v>
      </c>
      <c r="J67" s="152"/>
      <c r="L67" s="30"/>
      <c r="M67" s="30"/>
    </row>
    <row r="68" spans="1:13" x14ac:dyDescent="0.25">
      <c r="A68" s="229">
        <v>44768</v>
      </c>
      <c r="B68" s="225" t="s">
        <v>3</v>
      </c>
      <c r="C68" s="226">
        <f>27708021.4/1000000</f>
        <v>27.7080214</v>
      </c>
      <c r="D68" s="227">
        <f>269701/1000000</f>
        <v>0.26970100000000002</v>
      </c>
      <c r="E68" s="227">
        <f>3779921.35/1000000</f>
        <v>3.77992135</v>
      </c>
      <c r="F68" s="95">
        <f>3116816/1000000</f>
        <v>3.116816</v>
      </c>
      <c r="G68" s="254">
        <f>(11000-19500)/1000000</f>
        <v>-8.5000000000000006E-3</v>
      </c>
      <c r="H68" s="48">
        <f>257583.25/1000000</f>
        <v>0.25758324999999999</v>
      </c>
      <c r="I68" s="244">
        <f t="shared" si="6"/>
        <v>35.123543000000005</v>
      </c>
      <c r="J68" s="152"/>
      <c r="L68" s="30"/>
      <c r="M68" s="30"/>
    </row>
    <row r="69" spans="1:13" x14ac:dyDescent="0.25">
      <c r="A69" s="229">
        <v>44781</v>
      </c>
      <c r="B69" s="225" t="s">
        <v>3</v>
      </c>
      <c r="C69" s="226">
        <f>122173313.76/1000000</f>
        <v>122.17331376</v>
      </c>
      <c r="D69" s="227" t="s">
        <v>3</v>
      </c>
      <c r="E69" s="227">
        <f>662479.89/1000000</f>
        <v>0.66247988999999996</v>
      </c>
      <c r="F69" s="95" t="s">
        <v>3</v>
      </c>
      <c r="G69" s="254" t="s">
        <v>3</v>
      </c>
      <c r="H69" s="48" t="s">
        <v>3</v>
      </c>
      <c r="I69" s="244">
        <f>SUM(B69:H69)</f>
        <v>122.83579365</v>
      </c>
      <c r="J69" s="152"/>
      <c r="L69" s="30"/>
      <c r="M69" s="30"/>
    </row>
    <row r="70" spans="1:13" x14ac:dyDescent="0.25">
      <c r="A70" s="229">
        <v>44788</v>
      </c>
      <c r="B70" s="225">
        <f>284509522.19/1000000</f>
        <v>284.50952218999998</v>
      </c>
      <c r="C70" s="226" t="s">
        <v>3</v>
      </c>
      <c r="D70" s="227">
        <f>(26022175+208976-1664652-7166)/1000000</f>
        <v>24.559332999999999</v>
      </c>
      <c r="E70" s="227">
        <f>1416820.44/1000000</f>
        <v>1.41682044</v>
      </c>
      <c r="F70" s="95">
        <f>(1601652+1664652+7166)/1000000</f>
        <v>3.2734700000000001</v>
      </c>
      <c r="G70" s="254" t="s">
        <v>3</v>
      </c>
      <c r="H70" s="48">
        <f>187889.45/1000000</f>
        <v>0.18788945000000001</v>
      </c>
      <c r="I70" s="244">
        <f>SUM(B70:H70)</f>
        <v>313.94703507999992</v>
      </c>
      <c r="J70" s="152"/>
      <c r="L70" s="30"/>
      <c r="M70" s="30"/>
    </row>
    <row r="71" spans="1:13" ht="15.75" thickBot="1" x14ac:dyDescent="0.3">
      <c r="A71" s="230" t="s">
        <v>73</v>
      </c>
      <c r="B71" s="228">
        <f>SUM(B52:B70)</f>
        <v>8785.0280495299994</v>
      </c>
      <c r="C71" s="234">
        <f t="shared" ref="C71:I71" si="7">SUM(C52:C70)</f>
        <v>940.96593308999979</v>
      </c>
      <c r="D71" s="231">
        <f t="shared" si="7"/>
        <v>1601.8443551999997</v>
      </c>
      <c r="E71" s="231">
        <f t="shared" si="7"/>
        <v>194.34810471999998</v>
      </c>
      <c r="F71" s="232">
        <f t="shared" si="7"/>
        <v>371.2015419999999</v>
      </c>
      <c r="G71" s="228">
        <f t="shared" si="7"/>
        <v>5.0200000000000002E-2</v>
      </c>
      <c r="H71" s="228">
        <f t="shared" si="7"/>
        <v>1.9408225099999998</v>
      </c>
      <c r="I71" s="233">
        <f t="shared" si="7"/>
        <v>11895.37900705</v>
      </c>
      <c r="J71" s="152"/>
      <c r="L71" s="30"/>
      <c r="M71" s="30"/>
    </row>
    <row r="72" spans="1:13" x14ac:dyDescent="0.25">
      <c r="A72" s="3" t="s">
        <v>0</v>
      </c>
      <c r="B72" s="235">
        <f t="shared" ref="B72:I72" si="8">B19+B51+B71</f>
        <v>15299.848809629999</v>
      </c>
      <c r="C72" s="236">
        <f t="shared" si="8"/>
        <v>2831.3374392999999</v>
      </c>
      <c r="D72" s="237">
        <f t="shared" si="8"/>
        <v>2485.0803576999997</v>
      </c>
      <c r="E72" s="237">
        <f t="shared" si="8"/>
        <v>416.05240197000001</v>
      </c>
      <c r="F72" s="238">
        <f t="shared" si="8"/>
        <v>884.99440799999979</v>
      </c>
      <c r="G72" s="235">
        <f t="shared" si="8"/>
        <v>6.1400000000000003E-2</v>
      </c>
      <c r="H72" s="235">
        <f t="shared" si="8"/>
        <v>1.9408225099999998</v>
      </c>
      <c r="I72" s="253">
        <f t="shared" si="8"/>
        <v>21919.315639109998</v>
      </c>
      <c r="J72" s="20"/>
      <c r="L72" s="30"/>
      <c r="M72" s="30"/>
    </row>
    <row r="73" spans="1:13" x14ac:dyDescent="0.25">
      <c r="A73" s="31"/>
      <c r="B73" s="26"/>
      <c r="C73" s="26"/>
      <c r="D73" s="20"/>
      <c r="E73" s="20"/>
      <c r="F73" s="97"/>
      <c r="G73" s="20"/>
      <c r="H73" s="20"/>
      <c r="I73" s="26"/>
      <c r="K73" s="64"/>
      <c r="L73" s="30"/>
      <c r="M73" s="30"/>
    </row>
    <row r="74" spans="1:13" x14ac:dyDescent="0.25">
      <c r="A74" t="s">
        <v>76</v>
      </c>
      <c r="B74" s="26"/>
      <c r="C74" s="97"/>
      <c r="D74" s="157"/>
      <c r="E74" s="94"/>
      <c r="F74" s="149"/>
      <c r="G74" s="157"/>
      <c r="H74" s="246"/>
      <c r="I74" s="26"/>
      <c r="L74" s="30"/>
      <c r="M74" s="30"/>
    </row>
    <row r="75" spans="1:13" x14ac:dyDescent="0.25">
      <c r="B75" s="26"/>
      <c r="C75" s="26"/>
      <c r="D75" s="157"/>
      <c r="E75" s="20"/>
      <c r="F75" s="247"/>
      <c r="G75" s="245"/>
      <c r="H75" s="245"/>
      <c r="I75" s="26"/>
      <c r="L75" s="30"/>
      <c r="M75" s="30"/>
    </row>
    <row r="76" spans="1:13" x14ac:dyDescent="0.25">
      <c r="C76" s="64"/>
      <c r="D76" s="158"/>
      <c r="F76" s="64"/>
      <c r="G76" s="162"/>
      <c r="I76" s="10"/>
    </row>
    <row r="77" spans="1:13" x14ac:dyDescent="0.25">
      <c r="A77" s="106" t="s">
        <v>51</v>
      </c>
      <c r="D77" s="158"/>
      <c r="F77" s="64"/>
      <c r="L77" s="30"/>
      <c r="M77" s="30"/>
    </row>
    <row r="78" spans="1:13" ht="17.25" x14ac:dyDescent="0.25">
      <c r="A78" s="106" t="s">
        <v>63</v>
      </c>
      <c r="C78" s="20"/>
      <c r="D78" s="157"/>
      <c r="E78" s="20"/>
      <c r="F78" s="97"/>
      <c r="G78" s="20"/>
      <c r="H78" s="20"/>
      <c r="I78" s="162"/>
      <c r="J78" s="10"/>
      <c r="K78" s="10"/>
      <c r="L78" s="30"/>
      <c r="M78" s="30"/>
    </row>
    <row r="79" spans="1:13" ht="17.25" x14ac:dyDescent="0.25">
      <c r="A79" s="106" t="s">
        <v>77</v>
      </c>
      <c r="D79" s="158"/>
      <c r="F79" s="161"/>
      <c r="L79" s="30"/>
      <c r="M79" s="30"/>
    </row>
    <row r="80" spans="1:13" x14ac:dyDescent="0.25">
      <c r="A80" s="146"/>
      <c r="B80" s="69"/>
      <c r="C80" s="27"/>
      <c r="D80" s="27"/>
      <c r="E80" s="27"/>
      <c r="F80" s="27"/>
      <c r="G80" s="27"/>
      <c r="H80" s="27"/>
      <c r="I80" s="27"/>
      <c r="L80" s="30"/>
      <c r="M80" s="30"/>
    </row>
    <row r="81" spans="1:18" x14ac:dyDescent="0.25">
      <c r="A81" s="28"/>
      <c r="B81" s="28"/>
      <c r="C81" s="28"/>
      <c r="D81" s="72"/>
      <c r="E81" s="72"/>
      <c r="F81" s="81"/>
      <c r="G81" s="90"/>
      <c r="H81" s="148"/>
      <c r="I81" s="28"/>
      <c r="L81" s="30"/>
      <c r="M81" s="30"/>
    </row>
    <row r="82" spans="1:18" x14ac:dyDescent="0.25">
      <c r="L82" s="30"/>
      <c r="M82" s="30"/>
    </row>
    <row r="83" spans="1:18" x14ac:dyDescent="0.25">
      <c r="A83" s="261"/>
      <c r="L83" s="30"/>
      <c r="M83" s="30"/>
    </row>
    <row r="84" spans="1:18" x14ac:dyDescent="0.25">
      <c r="A84" s="22"/>
      <c r="L84" s="30"/>
      <c r="M84" s="30"/>
    </row>
    <row r="85" spans="1:18" x14ac:dyDescent="0.25">
      <c r="A85" s="22"/>
      <c r="L85" s="30"/>
      <c r="M85" s="30"/>
    </row>
    <row r="86" spans="1:18" x14ac:dyDescent="0.25">
      <c r="A86" s="22"/>
      <c r="L86" s="30"/>
      <c r="M86" s="30"/>
    </row>
    <row r="87" spans="1:18" x14ac:dyDescent="0.25">
      <c r="A87" s="22"/>
      <c r="L87" s="30"/>
      <c r="M87" s="30"/>
    </row>
    <row r="88" spans="1:18" ht="17.25" x14ac:dyDescent="0.25">
      <c r="A88" s="153"/>
      <c r="L88" s="30"/>
      <c r="M88" s="30"/>
    </row>
    <row r="89" spans="1:18" x14ac:dyDescent="0.25">
      <c r="A89" s="22"/>
      <c r="L89" s="30"/>
      <c r="M89" s="30"/>
    </row>
    <row r="90" spans="1:18" x14ac:dyDescent="0.25">
      <c r="C90" s="10"/>
      <c r="L90" s="30"/>
      <c r="M90" s="30"/>
    </row>
    <row r="91" spans="1:18" x14ac:dyDescent="0.25">
      <c r="A91" s="249"/>
      <c r="L91" s="30"/>
      <c r="M91" s="30"/>
    </row>
    <row r="92" spans="1:18" x14ac:dyDescent="0.25">
      <c r="A92" s="22"/>
      <c r="L92" s="30"/>
      <c r="M92" s="30"/>
    </row>
    <row r="93" spans="1:18" x14ac:dyDescent="0.25">
      <c r="A93" s="22"/>
      <c r="J93" s="26"/>
      <c r="K93" s="26"/>
      <c r="L93" s="26"/>
      <c r="M93" s="26"/>
      <c r="N93" s="10"/>
      <c r="O93" s="10"/>
      <c r="P93" s="10"/>
      <c r="Q93" s="10"/>
      <c r="R93" s="10"/>
    </row>
    <row r="94" spans="1:18" x14ac:dyDescent="0.25">
      <c r="A94" s="22"/>
      <c r="L94" s="20"/>
      <c r="M94" s="20"/>
    </row>
    <row r="95" spans="1:18" x14ac:dyDescent="0.25">
      <c r="A95" s="22"/>
      <c r="L95" s="20"/>
      <c r="M95" s="20"/>
    </row>
    <row r="98" spans="10:11" ht="14.45" customHeight="1" x14ac:dyDescent="0.25">
      <c r="J98" s="28"/>
      <c r="K98" s="28"/>
    </row>
  </sheetData>
  <mergeCells count="3">
    <mergeCell ref="A11:A12"/>
    <mergeCell ref="I11:I12"/>
    <mergeCell ref="C11:F11"/>
  </mergeCells>
  <pageMargins left="0.70866141732283472" right="0.70866141732283472" top="0.19685039370078741" bottom="0.39370078740157483" header="0" footer="0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1C96-6CFE-4A39-8631-B2058FBB5631}">
  <sheetPr>
    <pageSetUpPr fitToPage="1"/>
  </sheetPr>
  <dimension ref="A8:M136"/>
  <sheetViews>
    <sheetView zoomScaleNormal="100" workbookViewId="0">
      <pane xSplit="1" topLeftCell="B1" activePane="topRight" state="frozen"/>
      <selection activeCell="A8" sqref="A8"/>
      <selection pane="topRight" activeCell="L28" sqref="L28"/>
    </sheetView>
  </sheetViews>
  <sheetFormatPr baseColWidth="10" defaultRowHeight="15" x14ac:dyDescent="0.25"/>
  <cols>
    <col min="1" max="1" width="26" customWidth="1"/>
    <col min="2" max="2" width="19.85546875" customWidth="1"/>
    <col min="3" max="3" width="18.42578125" customWidth="1"/>
    <col min="4" max="4" width="20.42578125" customWidth="1"/>
    <col min="5" max="5" width="21.28515625" customWidth="1"/>
    <col min="6" max="6" width="20.42578125" customWidth="1"/>
    <col min="7" max="7" width="19.28515625" bestFit="1" customWidth="1"/>
    <col min="12" max="12" width="41.28515625" bestFit="1" customWidth="1"/>
    <col min="13" max="13" width="19" bestFit="1" customWidth="1"/>
    <col min="14" max="14" width="15.28515625" bestFit="1" customWidth="1"/>
  </cols>
  <sheetData>
    <row r="8" spans="1:13" ht="19.149999999999999" customHeight="1" x14ac:dyDescent="0.25">
      <c r="A8" s="277" t="s">
        <v>32</v>
      </c>
      <c r="B8" s="277"/>
      <c r="C8" s="277"/>
      <c r="D8" s="277"/>
      <c r="E8" s="277"/>
      <c r="F8" s="277"/>
      <c r="G8" s="277"/>
      <c r="H8" s="277"/>
      <c r="I8" s="33"/>
      <c r="J8" s="21"/>
      <c r="K8" s="21"/>
    </row>
    <row r="9" spans="1:13" x14ac:dyDescent="0.25">
      <c r="B9" s="22"/>
    </row>
    <row r="10" spans="1:13" ht="60.75" thickBot="1" x14ac:dyDescent="0.3">
      <c r="A10" s="18" t="s">
        <v>4</v>
      </c>
      <c r="B10" s="15" t="s">
        <v>59</v>
      </c>
      <c r="C10" s="7" t="s">
        <v>41</v>
      </c>
      <c r="D10" s="52" t="s">
        <v>60</v>
      </c>
      <c r="E10" s="104" t="s">
        <v>66</v>
      </c>
      <c r="F10" s="147" t="s">
        <v>67</v>
      </c>
      <c r="G10" s="34" t="s">
        <v>0</v>
      </c>
      <c r="K10" s="285"/>
      <c r="L10" s="287"/>
      <c r="M10" s="68"/>
    </row>
    <row r="11" spans="1:13" x14ac:dyDescent="0.25">
      <c r="A11" s="16" t="s">
        <v>7</v>
      </c>
      <c r="B11" s="12">
        <v>893558564.97000003</v>
      </c>
      <c r="C11" s="6">
        <v>98550000</v>
      </c>
      <c r="D11" s="41">
        <v>992108564.97000003</v>
      </c>
      <c r="E11" s="41">
        <v>311390000</v>
      </c>
      <c r="F11" s="41">
        <v>432000000</v>
      </c>
      <c r="G11" s="71">
        <f t="shared" ref="G11:G26" si="0">SUM(B11:F11)</f>
        <v>2727607129.9400001</v>
      </c>
    </row>
    <row r="12" spans="1:13" x14ac:dyDescent="0.25">
      <c r="A12" s="17" t="s">
        <v>8</v>
      </c>
      <c r="B12" s="12">
        <v>1386865816</v>
      </c>
      <c r="C12" s="6">
        <v>100200000</v>
      </c>
      <c r="D12" s="41">
        <v>1487065816</v>
      </c>
      <c r="E12" s="41">
        <v>526401833.19999993</v>
      </c>
      <c r="F12" s="41">
        <v>635000000</v>
      </c>
      <c r="G12" s="71">
        <f t="shared" si="0"/>
        <v>4135533465.1999998</v>
      </c>
    </row>
    <row r="13" spans="1:13" x14ac:dyDescent="0.25">
      <c r="A13" s="17" t="s">
        <v>6</v>
      </c>
      <c r="B13" s="12">
        <v>363409989.58000004</v>
      </c>
      <c r="C13" s="6">
        <v>27900000</v>
      </c>
      <c r="D13" s="41">
        <v>391309989.58000004</v>
      </c>
      <c r="E13" s="41">
        <v>135170553.40000001</v>
      </c>
      <c r="F13" s="41">
        <v>216754223.22</v>
      </c>
      <c r="G13" s="71">
        <f t="shared" si="0"/>
        <v>1134544755.78</v>
      </c>
    </row>
    <row r="14" spans="1:13" x14ac:dyDescent="0.25">
      <c r="A14" s="17" t="s">
        <v>5</v>
      </c>
      <c r="B14" s="12">
        <v>293781494.60000002</v>
      </c>
      <c r="C14" s="6">
        <v>23300000</v>
      </c>
      <c r="D14" s="41">
        <v>317081494.60000002</v>
      </c>
      <c r="E14" s="41">
        <v>91162371.600000009</v>
      </c>
      <c r="F14" s="41">
        <v>143529688.44</v>
      </c>
      <c r="G14" s="71">
        <f t="shared" si="0"/>
        <v>868855049.24000001</v>
      </c>
    </row>
    <row r="15" spans="1:13" x14ac:dyDescent="0.25">
      <c r="A15" s="17" t="s">
        <v>9</v>
      </c>
      <c r="B15" s="12">
        <v>89935498.399999991</v>
      </c>
      <c r="C15" s="6">
        <v>6950000</v>
      </c>
      <c r="D15" s="41">
        <v>96885498.399999991</v>
      </c>
      <c r="E15" s="41">
        <v>23081700.600000005</v>
      </c>
      <c r="F15" s="41">
        <v>46654888.840000004</v>
      </c>
      <c r="G15" s="71">
        <f t="shared" si="0"/>
        <v>263507586.23999998</v>
      </c>
    </row>
    <row r="16" spans="1:13" x14ac:dyDescent="0.25">
      <c r="A16" s="17" t="s">
        <v>11</v>
      </c>
      <c r="B16" s="12">
        <v>244548690.59999999</v>
      </c>
      <c r="C16" s="6">
        <v>15600000</v>
      </c>
      <c r="D16" s="71">
        <v>260148690.59999999</v>
      </c>
      <c r="E16" s="41">
        <v>68223034.799999997</v>
      </c>
      <c r="F16" s="41">
        <v>105490240.92</v>
      </c>
      <c r="G16" s="71">
        <f t="shared" si="0"/>
        <v>694010656.91999996</v>
      </c>
      <c r="L16" s="103"/>
    </row>
    <row r="17" spans="1:8" x14ac:dyDescent="0.25">
      <c r="A17" s="17" t="s">
        <v>10</v>
      </c>
      <c r="B17" s="12">
        <v>675669219.60000014</v>
      </c>
      <c r="C17" s="6">
        <v>48700000</v>
      </c>
      <c r="D17" s="41">
        <v>724369219.60000014</v>
      </c>
      <c r="E17" s="41">
        <v>189980613</v>
      </c>
      <c r="F17" s="41">
        <v>254817092.33999997</v>
      </c>
      <c r="G17" s="71">
        <f t="shared" si="0"/>
        <v>1893536144.5400002</v>
      </c>
    </row>
    <row r="18" spans="1:8" x14ac:dyDescent="0.25">
      <c r="A18" s="17" t="s">
        <v>12</v>
      </c>
      <c r="B18" s="12">
        <v>184781358.80000007</v>
      </c>
      <c r="C18" s="6">
        <v>13700000</v>
      </c>
      <c r="D18" s="41">
        <v>198481358.80000007</v>
      </c>
      <c r="E18" s="41">
        <v>74981608.200000003</v>
      </c>
      <c r="F18" s="41">
        <v>102087169.83</v>
      </c>
      <c r="G18" s="71">
        <f t="shared" si="0"/>
        <v>574031495.63000011</v>
      </c>
    </row>
    <row r="19" spans="1:8" x14ac:dyDescent="0.25">
      <c r="A19" s="17" t="s">
        <v>13</v>
      </c>
      <c r="B19" s="12">
        <v>790219282.19000006</v>
      </c>
      <c r="C19" s="6">
        <v>73550000</v>
      </c>
      <c r="D19" s="41">
        <v>863769282.19000006</v>
      </c>
      <c r="E19" s="41">
        <v>217083027.60000002</v>
      </c>
      <c r="F19" s="41">
        <v>295000000</v>
      </c>
      <c r="G19" s="71">
        <f t="shared" si="0"/>
        <v>2239621591.98</v>
      </c>
    </row>
    <row r="20" spans="1:8" x14ac:dyDescent="0.25">
      <c r="A20" s="17" t="s">
        <v>24</v>
      </c>
      <c r="B20" s="12">
        <v>2176326000</v>
      </c>
      <c r="C20" s="6">
        <v>110950000</v>
      </c>
      <c r="D20" s="41">
        <v>2287276000</v>
      </c>
      <c r="E20" s="41">
        <v>616596764.44000006</v>
      </c>
      <c r="F20" s="41">
        <v>888685777.69000006</v>
      </c>
      <c r="G20" s="71">
        <f t="shared" si="0"/>
        <v>6079834542.1300011</v>
      </c>
    </row>
    <row r="21" spans="1:8" x14ac:dyDescent="0.25">
      <c r="A21" s="17" t="s">
        <v>14</v>
      </c>
      <c r="B21" s="12">
        <v>437859866.68000007</v>
      </c>
      <c r="C21" s="6">
        <v>29500000</v>
      </c>
      <c r="D21" s="41">
        <v>467359866.68000007</v>
      </c>
      <c r="E21" s="41">
        <v>117618519.59999999</v>
      </c>
      <c r="F21" s="41">
        <v>191421896.75999999</v>
      </c>
      <c r="G21" s="71">
        <f>SUM(B21:F21)</f>
        <v>1243760149.7200003</v>
      </c>
    </row>
    <row r="22" spans="1:8" x14ac:dyDescent="0.25">
      <c r="A22" s="17" t="s">
        <v>17</v>
      </c>
      <c r="B22" s="12">
        <v>139111915.52000001</v>
      </c>
      <c r="C22" s="6">
        <v>15150000</v>
      </c>
      <c r="D22" s="41">
        <v>154261915.52000001</v>
      </c>
      <c r="E22" s="41">
        <v>46267984.899999991</v>
      </c>
      <c r="F22" s="41">
        <v>73626539.079999998</v>
      </c>
      <c r="G22" s="71">
        <f t="shared" si="0"/>
        <v>428418355.01999998</v>
      </c>
    </row>
    <row r="23" spans="1:8" x14ac:dyDescent="0.25">
      <c r="A23" s="17" t="s">
        <v>18</v>
      </c>
      <c r="B23" s="12">
        <v>387888741.13999993</v>
      </c>
      <c r="C23" s="6">
        <v>47350000</v>
      </c>
      <c r="D23" s="41">
        <v>435238741.13999993</v>
      </c>
      <c r="E23" s="41">
        <v>196317680.19999999</v>
      </c>
      <c r="F23" s="41">
        <v>264647572.74000001</v>
      </c>
      <c r="G23" s="71">
        <f t="shared" si="0"/>
        <v>1331442735.2199998</v>
      </c>
    </row>
    <row r="24" spans="1:8" x14ac:dyDescent="0.25">
      <c r="A24" s="17" t="s">
        <v>15</v>
      </c>
      <c r="B24" s="12">
        <v>263688510.28000003</v>
      </c>
      <c r="C24" s="6">
        <v>27150000</v>
      </c>
      <c r="D24" s="71">
        <v>290838510.28000003</v>
      </c>
      <c r="E24" s="41">
        <v>104064685.20000002</v>
      </c>
      <c r="F24" s="41">
        <v>155627756</v>
      </c>
      <c r="G24" s="71">
        <f t="shared" si="0"/>
        <v>841369461.76000011</v>
      </c>
    </row>
    <row r="25" spans="1:8" x14ac:dyDescent="0.25">
      <c r="A25" s="17" t="s">
        <v>16</v>
      </c>
      <c r="B25" s="12">
        <v>286417571.95000005</v>
      </c>
      <c r="C25" s="6">
        <v>26200000</v>
      </c>
      <c r="D25" s="41">
        <v>312617571.95000005</v>
      </c>
      <c r="E25" s="41">
        <v>63287339.400000006</v>
      </c>
      <c r="F25" s="41">
        <v>108897165.5</v>
      </c>
      <c r="G25" s="71">
        <f t="shared" si="0"/>
        <v>797419648.80000007</v>
      </c>
    </row>
    <row r="26" spans="1:8" ht="15.75" thickBot="1" x14ac:dyDescent="0.3">
      <c r="A26" s="17" t="s">
        <v>19</v>
      </c>
      <c r="B26" s="12">
        <v>285094121.57999998</v>
      </c>
      <c r="C26" s="6">
        <v>20100000</v>
      </c>
      <c r="D26" s="41">
        <v>305194121.57999998</v>
      </c>
      <c r="E26" s="41">
        <v>118966674.29999998</v>
      </c>
      <c r="F26" s="41">
        <v>158449468.28</v>
      </c>
      <c r="G26" s="71">
        <f t="shared" si="0"/>
        <v>887804385.73999989</v>
      </c>
    </row>
    <row r="27" spans="1:8" x14ac:dyDescent="0.25">
      <c r="A27" s="3" t="s">
        <v>0</v>
      </c>
      <c r="B27" s="4">
        <v>8899156641.8900013</v>
      </c>
      <c r="C27" s="4">
        <v>684850000</v>
      </c>
      <c r="D27" s="4">
        <v>9584006641.8900013</v>
      </c>
      <c r="E27" s="4">
        <v>2900594390.4400001</v>
      </c>
      <c r="F27" s="8">
        <v>4072689479.6400003</v>
      </c>
      <c r="G27" s="8">
        <f>SUM(G11:G26)</f>
        <v>26141297153.860004</v>
      </c>
      <c r="H27" s="20"/>
    </row>
    <row r="28" spans="1:8" x14ac:dyDescent="0.25">
      <c r="B28" s="70"/>
      <c r="D28" s="70"/>
      <c r="E28" s="70"/>
      <c r="F28" s="70"/>
      <c r="G28" s="19"/>
    </row>
    <row r="29" spans="1:8" x14ac:dyDescent="0.25">
      <c r="A29" s="23" t="s">
        <v>76</v>
      </c>
      <c r="G29" s="19"/>
    </row>
    <row r="30" spans="1:8" x14ac:dyDescent="0.25">
      <c r="G30" s="19"/>
    </row>
    <row r="31" spans="1:8" x14ac:dyDescent="0.25">
      <c r="A31" t="s">
        <v>56</v>
      </c>
      <c r="G31" s="19"/>
    </row>
    <row r="32" spans="1:8" x14ac:dyDescent="0.25">
      <c r="G32" s="19"/>
    </row>
    <row r="33" spans="1:7" x14ac:dyDescent="0.25">
      <c r="G33" s="19"/>
    </row>
    <row r="34" spans="1:7" x14ac:dyDescent="0.25">
      <c r="A34" s="261"/>
      <c r="G34" s="19"/>
    </row>
    <row r="35" spans="1:7" x14ac:dyDescent="0.25">
      <c r="G35" s="19"/>
    </row>
    <row r="36" spans="1:7" x14ac:dyDescent="0.25">
      <c r="G36" s="19"/>
    </row>
    <row r="37" spans="1:7" x14ac:dyDescent="0.25">
      <c r="G37" s="19"/>
    </row>
    <row r="38" spans="1:7" x14ac:dyDescent="0.25">
      <c r="G38" s="19"/>
    </row>
    <row r="39" spans="1:7" x14ac:dyDescent="0.25">
      <c r="G39" s="19"/>
    </row>
    <row r="40" spans="1:7" x14ac:dyDescent="0.25">
      <c r="G40" s="19"/>
    </row>
    <row r="41" spans="1:7" x14ac:dyDescent="0.25">
      <c r="G41" s="19"/>
    </row>
    <row r="42" spans="1:7" x14ac:dyDescent="0.25">
      <c r="G42" s="19"/>
    </row>
    <row r="43" spans="1:7" x14ac:dyDescent="0.25">
      <c r="G43" s="19"/>
    </row>
    <row r="44" spans="1:7" x14ac:dyDescent="0.25">
      <c r="G44" s="19"/>
    </row>
    <row r="45" spans="1:7" x14ac:dyDescent="0.25">
      <c r="G45" s="19"/>
    </row>
    <row r="46" spans="1:7" x14ac:dyDescent="0.25">
      <c r="G46" s="19"/>
    </row>
    <row r="47" spans="1:7" x14ac:dyDescent="0.25">
      <c r="G47" s="19"/>
    </row>
    <row r="48" spans="1:7" x14ac:dyDescent="0.25">
      <c r="G48" s="19"/>
    </row>
    <row r="49" spans="7:7" x14ac:dyDescent="0.25">
      <c r="G49" s="19"/>
    </row>
    <row r="50" spans="7:7" x14ac:dyDescent="0.25">
      <c r="G50" s="19"/>
    </row>
    <row r="51" spans="7:7" x14ac:dyDescent="0.25">
      <c r="G51" s="19"/>
    </row>
    <row r="52" spans="7:7" x14ac:dyDescent="0.25">
      <c r="G52" s="19"/>
    </row>
    <row r="53" spans="7:7" x14ac:dyDescent="0.25">
      <c r="G53" s="19"/>
    </row>
    <row r="54" spans="7:7" x14ac:dyDescent="0.25">
      <c r="G54" s="19"/>
    </row>
    <row r="55" spans="7:7" x14ac:dyDescent="0.25">
      <c r="G55" s="19"/>
    </row>
    <row r="56" spans="7:7" x14ac:dyDescent="0.25">
      <c r="G56" s="19"/>
    </row>
    <row r="57" spans="7:7" x14ac:dyDescent="0.25">
      <c r="G57" s="19"/>
    </row>
    <row r="58" spans="7:7" x14ac:dyDescent="0.25">
      <c r="G58" s="19"/>
    </row>
    <row r="59" spans="7:7" x14ac:dyDescent="0.25">
      <c r="G59" s="19"/>
    </row>
    <row r="60" spans="7:7" x14ac:dyDescent="0.25">
      <c r="G60" s="19"/>
    </row>
    <row r="61" spans="7:7" x14ac:dyDescent="0.25">
      <c r="G61" s="19"/>
    </row>
    <row r="62" spans="7:7" x14ac:dyDescent="0.25">
      <c r="G62" s="19"/>
    </row>
    <row r="63" spans="7:7" x14ac:dyDescent="0.25">
      <c r="G63" s="19"/>
    </row>
    <row r="64" spans="7:7" x14ac:dyDescent="0.25">
      <c r="G64" s="19"/>
    </row>
    <row r="65" spans="7:7" x14ac:dyDescent="0.25">
      <c r="G65" s="19"/>
    </row>
    <row r="66" spans="7:7" x14ac:dyDescent="0.25">
      <c r="G66" s="19"/>
    </row>
    <row r="67" spans="7:7" x14ac:dyDescent="0.25">
      <c r="G67" s="19"/>
    </row>
    <row r="68" spans="7:7" x14ac:dyDescent="0.25">
      <c r="G68" s="19"/>
    </row>
    <row r="69" spans="7:7" x14ac:dyDescent="0.25">
      <c r="G69" s="19"/>
    </row>
    <row r="70" spans="7:7" x14ac:dyDescent="0.25">
      <c r="G70" s="19"/>
    </row>
    <row r="71" spans="7:7" x14ac:dyDescent="0.25">
      <c r="G71" s="19"/>
    </row>
    <row r="72" spans="7:7" x14ac:dyDescent="0.25">
      <c r="G72" s="19"/>
    </row>
    <row r="73" spans="7:7" x14ac:dyDescent="0.25">
      <c r="G73" s="19"/>
    </row>
    <row r="74" spans="7:7" x14ac:dyDescent="0.25">
      <c r="G74" s="19"/>
    </row>
    <row r="75" spans="7:7" x14ac:dyDescent="0.25">
      <c r="G75" s="19"/>
    </row>
    <row r="76" spans="7:7" x14ac:dyDescent="0.25">
      <c r="G76" s="19"/>
    </row>
    <row r="77" spans="7:7" x14ac:dyDescent="0.25">
      <c r="G77" s="19"/>
    </row>
    <row r="78" spans="7:7" x14ac:dyDescent="0.25">
      <c r="G78" s="19"/>
    </row>
    <row r="79" spans="7:7" x14ac:dyDescent="0.25">
      <c r="G79" s="19"/>
    </row>
    <row r="80" spans="7:7" x14ac:dyDescent="0.25">
      <c r="G80" s="19"/>
    </row>
    <row r="81" spans="7:7" x14ac:dyDescent="0.25">
      <c r="G81" s="19"/>
    </row>
    <row r="82" spans="7:7" x14ac:dyDescent="0.25">
      <c r="G82" s="19"/>
    </row>
    <row r="83" spans="7:7" x14ac:dyDescent="0.25">
      <c r="G83" s="19"/>
    </row>
    <row r="84" spans="7:7" x14ac:dyDescent="0.25">
      <c r="G84" s="19"/>
    </row>
    <row r="85" spans="7:7" x14ac:dyDescent="0.25">
      <c r="G85" s="19"/>
    </row>
    <row r="86" spans="7:7" x14ac:dyDescent="0.25">
      <c r="G86" s="19"/>
    </row>
    <row r="87" spans="7:7" x14ac:dyDescent="0.25">
      <c r="G87" s="19"/>
    </row>
    <row r="88" spans="7:7" x14ac:dyDescent="0.25">
      <c r="G88" s="19"/>
    </row>
    <row r="89" spans="7:7" x14ac:dyDescent="0.25">
      <c r="G89" s="19"/>
    </row>
    <row r="90" spans="7:7" x14ac:dyDescent="0.25">
      <c r="G90" s="19"/>
    </row>
    <row r="91" spans="7:7" x14ac:dyDescent="0.25">
      <c r="G91" s="19"/>
    </row>
    <row r="92" spans="7:7" x14ac:dyDescent="0.25">
      <c r="G92" s="19"/>
    </row>
    <row r="93" spans="7:7" x14ac:dyDescent="0.25">
      <c r="G93" s="19"/>
    </row>
    <row r="94" spans="7:7" x14ac:dyDescent="0.25">
      <c r="G94" s="19"/>
    </row>
    <row r="95" spans="7:7" x14ac:dyDescent="0.25">
      <c r="G95" s="19"/>
    </row>
    <row r="96" spans="7:7" x14ac:dyDescent="0.25">
      <c r="G96" s="19"/>
    </row>
    <row r="97" spans="7:7" x14ac:dyDescent="0.25">
      <c r="G97" s="19"/>
    </row>
    <row r="98" spans="7:7" x14ac:dyDescent="0.25">
      <c r="G98" s="19"/>
    </row>
    <row r="99" spans="7:7" x14ac:dyDescent="0.25">
      <c r="G99" s="19"/>
    </row>
    <row r="100" spans="7:7" x14ac:dyDescent="0.25">
      <c r="G100" s="19"/>
    </row>
    <row r="101" spans="7:7" x14ac:dyDescent="0.25">
      <c r="G101" s="19"/>
    </row>
    <row r="102" spans="7:7" x14ac:dyDescent="0.25">
      <c r="G102" s="19"/>
    </row>
    <row r="103" spans="7:7" x14ac:dyDescent="0.25">
      <c r="G103" s="19"/>
    </row>
    <row r="104" spans="7:7" x14ac:dyDescent="0.25">
      <c r="G104" s="19"/>
    </row>
    <row r="105" spans="7:7" x14ac:dyDescent="0.25">
      <c r="G105" s="19"/>
    </row>
    <row r="106" spans="7:7" x14ac:dyDescent="0.25">
      <c r="G106" s="19"/>
    </row>
    <row r="107" spans="7:7" x14ac:dyDescent="0.25">
      <c r="G107" s="19"/>
    </row>
    <row r="108" spans="7:7" x14ac:dyDescent="0.25">
      <c r="G108" s="19"/>
    </row>
    <row r="109" spans="7:7" x14ac:dyDescent="0.25">
      <c r="G109" s="19"/>
    </row>
    <row r="110" spans="7:7" x14ac:dyDescent="0.25">
      <c r="G110" s="19"/>
    </row>
    <row r="111" spans="7:7" x14ac:dyDescent="0.25">
      <c r="G111" s="19"/>
    </row>
    <row r="112" spans="7:7" x14ac:dyDescent="0.25">
      <c r="G112" s="19"/>
    </row>
    <row r="113" spans="7:7" x14ac:dyDescent="0.25">
      <c r="G113" s="19"/>
    </row>
    <row r="114" spans="7:7" x14ac:dyDescent="0.25">
      <c r="G114" s="19"/>
    </row>
    <row r="115" spans="7:7" x14ac:dyDescent="0.25">
      <c r="G115" s="19"/>
    </row>
    <row r="116" spans="7:7" x14ac:dyDescent="0.25">
      <c r="G116" s="19"/>
    </row>
    <row r="117" spans="7:7" x14ac:dyDescent="0.25">
      <c r="G117" s="19"/>
    </row>
    <row r="118" spans="7:7" x14ac:dyDescent="0.25">
      <c r="G118" s="19"/>
    </row>
    <row r="119" spans="7:7" x14ac:dyDescent="0.25">
      <c r="G119" s="19"/>
    </row>
    <row r="120" spans="7:7" x14ac:dyDescent="0.25">
      <c r="G120" s="19"/>
    </row>
    <row r="121" spans="7:7" x14ac:dyDescent="0.25">
      <c r="G121" s="19"/>
    </row>
    <row r="122" spans="7:7" x14ac:dyDescent="0.25">
      <c r="G122" s="19"/>
    </row>
    <row r="123" spans="7:7" x14ac:dyDescent="0.25">
      <c r="G123" s="19"/>
    </row>
    <row r="124" spans="7:7" x14ac:dyDescent="0.25">
      <c r="G124" s="19"/>
    </row>
    <row r="125" spans="7:7" x14ac:dyDescent="0.25">
      <c r="G125" s="19"/>
    </row>
    <row r="126" spans="7:7" x14ac:dyDescent="0.25">
      <c r="G126" s="19"/>
    </row>
    <row r="127" spans="7:7" x14ac:dyDescent="0.25">
      <c r="G127" s="19"/>
    </row>
    <row r="128" spans="7:7" x14ac:dyDescent="0.25">
      <c r="G128" s="19"/>
    </row>
    <row r="129" spans="7:7" x14ac:dyDescent="0.25">
      <c r="G129" s="19"/>
    </row>
    <row r="130" spans="7:7" x14ac:dyDescent="0.25">
      <c r="G130" s="19"/>
    </row>
    <row r="131" spans="7:7" x14ac:dyDescent="0.25">
      <c r="G131" s="19"/>
    </row>
    <row r="132" spans="7:7" x14ac:dyDescent="0.25">
      <c r="G132" s="19"/>
    </row>
    <row r="133" spans="7:7" x14ac:dyDescent="0.25">
      <c r="G133" s="19"/>
    </row>
    <row r="134" spans="7:7" x14ac:dyDescent="0.25">
      <c r="G134" s="19"/>
    </row>
    <row r="135" spans="7:7" x14ac:dyDescent="0.25">
      <c r="G135" s="19"/>
    </row>
    <row r="136" spans="7:7" x14ac:dyDescent="0.25">
      <c r="G136" s="19"/>
    </row>
  </sheetData>
  <sortState ref="J11:N26">
    <sortCondition ref="J10"/>
  </sortState>
  <mergeCells count="1">
    <mergeCell ref="A8:H8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89EC6-343E-4E11-AABA-241F282E2FEB}">
  <sheetPr>
    <pageSetUpPr fitToPage="1"/>
  </sheetPr>
  <dimension ref="A7:M44"/>
  <sheetViews>
    <sheetView topLeftCell="A7" zoomScaleNormal="100" workbookViewId="0">
      <pane xSplit="1" topLeftCell="B1" activePane="topRight" state="frozen"/>
      <selection activeCell="A9" sqref="A9"/>
      <selection pane="topRight" activeCell="D22" sqref="D22"/>
    </sheetView>
  </sheetViews>
  <sheetFormatPr baseColWidth="10" defaultRowHeight="15" x14ac:dyDescent="0.25"/>
  <cols>
    <col min="1" max="1" width="25.42578125" bestFit="1" customWidth="1"/>
    <col min="2" max="2" width="19.7109375" customWidth="1"/>
    <col min="3" max="3" width="19.85546875" customWidth="1"/>
    <col min="4" max="4" width="19.42578125" bestFit="1" customWidth="1"/>
    <col min="5" max="5" width="17.85546875" bestFit="1" customWidth="1"/>
    <col min="6" max="8" width="16.85546875" bestFit="1" customWidth="1"/>
    <col min="9" max="9" width="20.140625" customWidth="1"/>
    <col min="10" max="10" width="20.42578125" bestFit="1" customWidth="1"/>
    <col min="11" max="11" width="16.7109375" customWidth="1"/>
    <col min="13" max="13" width="18.28515625" bestFit="1" customWidth="1"/>
  </cols>
  <sheetData>
    <row r="7" spans="1:13" x14ac:dyDescent="0.25">
      <c r="J7" s="22"/>
      <c r="K7" s="22"/>
    </row>
    <row r="8" spans="1:13" ht="17.25" x14ac:dyDescent="0.25">
      <c r="A8" s="278" t="s">
        <v>68</v>
      </c>
      <c r="B8" s="278"/>
      <c r="C8" s="278"/>
      <c r="D8" s="278"/>
      <c r="H8" s="22"/>
      <c r="I8" s="22"/>
    </row>
    <row r="9" spans="1:13" x14ac:dyDescent="0.25">
      <c r="A9" s="21"/>
      <c r="B9" s="21"/>
    </row>
    <row r="10" spans="1:13" ht="75" x14ac:dyDescent="0.25">
      <c r="A10" s="55" t="s">
        <v>20</v>
      </c>
      <c r="B10" s="155" t="s">
        <v>64</v>
      </c>
      <c r="C10" s="56" t="s">
        <v>42</v>
      </c>
      <c r="D10" s="150" t="s">
        <v>49</v>
      </c>
      <c r="E10" s="56" t="s">
        <v>27</v>
      </c>
      <c r="F10" s="57" t="s">
        <v>33</v>
      </c>
      <c r="G10" s="56" t="s">
        <v>34</v>
      </c>
      <c r="H10" s="58" t="s">
        <v>35</v>
      </c>
      <c r="I10" s="58" t="s">
        <v>43</v>
      </c>
      <c r="J10" s="60" t="s">
        <v>0</v>
      </c>
      <c r="K10" s="284"/>
      <c r="L10" s="285"/>
      <c r="M10" s="286"/>
    </row>
    <row r="11" spans="1:13" x14ac:dyDescent="0.25">
      <c r="A11" s="16" t="s">
        <v>7</v>
      </c>
      <c r="B11" s="32">
        <v>272724910.35000002</v>
      </c>
      <c r="C11" s="65">
        <v>652693293.51000011</v>
      </c>
      <c r="D11" s="65">
        <v>1144741968.3900001</v>
      </c>
      <c r="E11" s="65">
        <v>30476392</v>
      </c>
      <c r="F11" s="65">
        <v>635414.82999999996</v>
      </c>
      <c r="G11" s="65">
        <v>3067093.4699999997</v>
      </c>
      <c r="H11" s="65">
        <v>14021266.810000002</v>
      </c>
      <c r="I11" s="65">
        <v>19578011.010000005</v>
      </c>
      <c r="J11" s="66">
        <f>SUM(B11:I11)</f>
        <v>2137938350.3700001</v>
      </c>
      <c r="K11" s="26"/>
    </row>
    <row r="12" spans="1:13" x14ac:dyDescent="0.25">
      <c r="A12" s="17" t="s">
        <v>8</v>
      </c>
      <c r="B12" s="32">
        <v>688037403.99000001</v>
      </c>
      <c r="C12" s="65">
        <v>550716084.48000002</v>
      </c>
      <c r="D12" s="65">
        <v>756971624.93999994</v>
      </c>
      <c r="E12" s="65">
        <v>40069813</v>
      </c>
      <c r="F12" s="65">
        <v>128278403.96000001</v>
      </c>
      <c r="G12" s="65">
        <v>12110970.99</v>
      </c>
      <c r="H12" s="65">
        <v>0</v>
      </c>
      <c r="I12" s="65">
        <v>11450249.049999999</v>
      </c>
      <c r="J12" s="66">
        <f t="shared" ref="J12:J27" si="0">SUM(B12:I12)</f>
        <v>2187634550.4099998</v>
      </c>
      <c r="K12" s="26"/>
    </row>
    <row r="13" spans="1:13" x14ac:dyDescent="0.25">
      <c r="A13" s="17" t="s">
        <v>6</v>
      </c>
      <c r="B13" s="32">
        <v>66725155.859999999</v>
      </c>
      <c r="C13" s="65">
        <v>278718020.12</v>
      </c>
      <c r="D13" s="65">
        <v>531309219.25</v>
      </c>
      <c r="E13" s="65">
        <v>5199988</v>
      </c>
      <c r="F13" s="65">
        <v>0</v>
      </c>
      <c r="G13" s="65">
        <v>0</v>
      </c>
      <c r="H13" s="65">
        <v>0</v>
      </c>
      <c r="I13" s="65">
        <v>5566421.1699999999</v>
      </c>
      <c r="J13" s="66">
        <f t="shared" si="0"/>
        <v>887518804.39999998</v>
      </c>
      <c r="K13" s="26"/>
    </row>
    <row r="14" spans="1:13" x14ac:dyDescent="0.25">
      <c r="A14" s="17" t="s">
        <v>5</v>
      </c>
      <c r="B14" s="32">
        <v>85366063.549999997</v>
      </c>
      <c r="C14" s="65">
        <v>81846233.200000003</v>
      </c>
      <c r="D14" s="65">
        <v>115920529.63</v>
      </c>
      <c r="E14" s="65">
        <v>13879758</v>
      </c>
      <c r="F14" s="65">
        <v>472376.58</v>
      </c>
      <c r="G14" s="65">
        <v>1119146.5300000003</v>
      </c>
      <c r="H14" s="65">
        <v>236685.67</v>
      </c>
      <c r="I14" s="65">
        <v>1627655.5199999998</v>
      </c>
      <c r="J14" s="66">
        <f t="shared" si="0"/>
        <v>300468448.67999995</v>
      </c>
      <c r="K14" s="26"/>
    </row>
    <row r="15" spans="1:13" x14ac:dyDescent="0.25">
      <c r="A15" s="17" t="s">
        <v>9</v>
      </c>
      <c r="B15" s="32">
        <v>27758948.960000001</v>
      </c>
      <c r="C15" s="65">
        <v>25686209.210000005</v>
      </c>
      <c r="D15" s="65">
        <v>45926112.079999998</v>
      </c>
      <c r="E15" s="65">
        <v>2527732</v>
      </c>
      <c r="F15" s="65">
        <v>0</v>
      </c>
      <c r="G15" s="65">
        <v>7676.84</v>
      </c>
      <c r="H15" s="65">
        <v>0</v>
      </c>
      <c r="I15" s="65">
        <v>514345.73999999993</v>
      </c>
      <c r="J15" s="66">
        <f t="shared" si="0"/>
        <v>102421024.83</v>
      </c>
      <c r="K15" s="26"/>
    </row>
    <row r="16" spans="1:13" x14ac:dyDescent="0.25">
      <c r="A16" s="17" t="s">
        <v>11</v>
      </c>
      <c r="B16" s="32">
        <v>86318785.060000002</v>
      </c>
      <c r="C16" s="65">
        <v>101568752.58</v>
      </c>
      <c r="D16" s="65">
        <v>171220935.66999999</v>
      </c>
      <c r="E16" s="65">
        <v>7231560</v>
      </c>
      <c r="F16" s="65">
        <v>0</v>
      </c>
      <c r="G16" s="65">
        <v>692593.05</v>
      </c>
      <c r="H16" s="65">
        <v>1090579.2</v>
      </c>
      <c r="I16" s="65">
        <v>2032081.75</v>
      </c>
      <c r="J16" s="66">
        <f t="shared" si="0"/>
        <v>370155287.30999994</v>
      </c>
      <c r="K16" s="26"/>
    </row>
    <row r="17" spans="1:11" x14ac:dyDescent="0.25">
      <c r="A17" s="17" t="s">
        <v>10</v>
      </c>
      <c r="B17" s="32">
        <v>145602047.66</v>
      </c>
      <c r="C17" s="65">
        <v>326601081.31</v>
      </c>
      <c r="D17" s="65">
        <v>593620567.02999997</v>
      </c>
      <c r="E17" s="65">
        <v>21686738</v>
      </c>
      <c r="F17" s="65">
        <v>3574302.92</v>
      </c>
      <c r="G17" s="65">
        <v>1169068.71</v>
      </c>
      <c r="H17" s="65">
        <v>8963246.9100000001</v>
      </c>
      <c r="I17" s="65">
        <v>6589660.3899999997</v>
      </c>
      <c r="J17" s="66">
        <f t="shared" si="0"/>
        <v>1107806712.9300003</v>
      </c>
      <c r="K17" s="26"/>
    </row>
    <row r="18" spans="1:11" x14ac:dyDescent="0.25">
      <c r="A18" s="17" t="s">
        <v>12</v>
      </c>
      <c r="B18" s="32">
        <v>58120737.590000004</v>
      </c>
      <c r="C18" s="65">
        <v>57426078.409999996</v>
      </c>
      <c r="D18" s="65">
        <v>93374121.579999998</v>
      </c>
      <c r="E18" s="65">
        <v>10020305</v>
      </c>
      <c r="F18" s="65">
        <v>1902367.06</v>
      </c>
      <c r="G18" s="65">
        <v>4046560.86</v>
      </c>
      <c r="H18" s="65">
        <v>108520.18</v>
      </c>
      <c r="I18" s="65">
        <v>1145736.5899999999</v>
      </c>
      <c r="J18" s="66">
        <f t="shared" si="0"/>
        <v>226144427.27000001</v>
      </c>
      <c r="K18" s="26"/>
    </row>
    <row r="19" spans="1:11" x14ac:dyDescent="0.25">
      <c r="A19" s="17" t="s">
        <v>13</v>
      </c>
      <c r="B19" s="32">
        <v>161480254.13999999</v>
      </c>
      <c r="C19" s="65">
        <v>360441427.67000002</v>
      </c>
      <c r="D19" s="65">
        <v>640170425.08000004</v>
      </c>
      <c r="E19" s="65">
        <v>31311298</v>
      </c>
      <c r="F19" s="65">
        <v>7301286.7699999996</v>
      </c>
      <c r="G19" s="65">
        <v>12950375.000000002</v>
      </c>
      <c r="H19" s="65">
        <v>6631324.4000000004</v>
      </c>
      <c r="I19" s="65">
        <v>7200062.6099999994</v>
      </c>
      <c r="J19" s="66">
        <f t="shared" si="0"/>
        <v>1227486453.6700001</v>
      </c>
      <c r="K19" s="26"/>
    </row>
    <row r="20" spans="1:11" x14ac:dyDescent="0.25">
      <c r="A20" s="17" t="s">
        <v>21</v>
      </c>
      <c r="B20" s="32">
        <v>379737122.62000006</v>
      </c>
      <c r="C20" s="65">
        <v>652038667.34999979</v>
      </c>
      <c r="D20" s="65">
        <v>1237467674.71</v>
      </c>
      <c r="E20" s="65">
        <v>32387683</v>
      </c>
      <c r="F20" s="65">
        <v>71376496.170000002</v>
      </c>
      <c r="G20" s="65">
        <v>0</v>
      </c>
      <c r="H20" s="65">
        <v>903288.12</v>
      </c>
      <c r="I20" s="65">
        <v>13288272.16</v>
      </c>
      <c r="J20" s="66">
        <f t="shared" si="0"/>
        <v>2387199204.1299996</v>
      </c>
      <c r="K20" s="26"/>
    </row>
    <row r="21" spans="1:11" x14ac:dyDescent="0.25">
      <c r="A21" s="17" t="s">
        <v>14</v>
      </c>
      <c r="B21" s="32">
        <v>144894063.21000001</v>
      </c>
      <c r="C21" s="65">
        <v>230156532.13</v>
      </c>
      <c r="D21" s="65">
        <v>411809852.05000001</v>
      </c>
      <c r="E21" s="65">
        <v>5007895</v>
      </c>
      <c r="F21" s="65">
        <v>5748606.21</v>
      </c>
      <c r="G21" s="65">
        <v>0</v>
      </c>
      <c r="H21" s="65">
        <v>0</v>
      </c>
      <c r="I21" s="65">
        <v>4600314.12</v>
      </c>
      <c r="J21" s="66">
        <f t="shared" si="0"/>
        <v>802217262.72000015</v>
      </c>
      <c r="K21" s="26"/>
    </row>
    <row r="22" spans="1:11" x14ac:dyDescent="0.25">
      <c r="A22" s="17" t="s">
        <v>22</v>
      </c>
      <c r="B22" s="32">
        <v>35190157.180000007</v>
      </c>
      <c r="C22" s="65">
        <v>76192764.569999993</v>
      </c>
      <c r="D22" s="65">
        <v>122676413.10999998</v>
      </c>
      <c r="E22" s="65">
        <v>6889565.1399999997</v>
      </c>
      <c r="F22" s="65">
        <v>68608099.049999997</v>
      </c>
      <c r="G22" s="65">
        <v>24650.059999999998</v>
      </c>
      <c r="H22" s="65">
        <v>0</v>
      </c>
      <c r="I22" s="65">
        <v>1524778.36</v>
      </c>
      <c r="J22" s="66">
        <f t="shared" si="0"/>
        <v>311106427.46999997</v>
      </c>
      <c r="K22" s="26"/>
    </row>
    <row r="23" spans="1:11" x14ac:dyDescent="0.25">
      <c r="A23" s="17" t="s">
        <v>18</v>
      </c>
      <c r="B23" s="32">
        <v>109739932.87</v>
      </c>
      <c r="C23" s="65">
        <v>160057036.93000001</v>
      </c>
      <c r="D23" s="65">
        <v>237352961.49999997</v>
      </c>
      <c r="E23" s="65">
        <v>25568658.559999999</v>
      </c>
      <c r="F23" s="65">
        <v>1450537.09</v>
      </c>
      <c r="G23" s="65">
        <v>1386674.61</v>
      </c>
      <c r="H23" s="65">
        <v>214065.85</v>
      </c>
      <c r="I23" s="65">
        <v>3207687.83</v>
      </c>
      <c r="J23" s="66">
        <f t="shared" si="0"/>
        <v>538977555.24000001</v>
      </c>
      <c r="K23" s="26"/>
    </row>
    <row r="24" spans="1:11" x14ac:dyDescent="0.25">
      <c r="A24" s="17" t="s">
        <v>15</v>
      </c>
      <c r="B24" s="32">
        <v>53360452.79999999</v>
      </c>
      <c r="C24" s="65">
        <v>77513681.560000002</v>
      </c>
      <c r="D24" s="65">
        <v>104664927.27</v>
      </c>
      <c r="E24" s="65">
        <v>16032562.199999999</v>
      </c>
      <c r="F24" s="65">
        <v>0</v>
      </c>
      <c r="G24" s="65">
        <v>18115.480000000003</v>
      </c>
      <c r="H24" s="65">
        <v>458642.95999999996</v>
      </c>
      <c r="I24" s="65">
        <v>1572069.8699999999</v>
      </c>
      <c r="J24" s="66">
        <f t="shared" si="0"/>
        <v>253620452.13999999</v>
      </c>
      <c r="K24" s="26"/>
    </row>
    <row r="25" spans="1:11" x14ac:dyDescent="0.25">
      <c r="A25" s="17" t="s">
        <v>16</v>
      </c>
      <c r="B25" s="32">
        <v>70593331.400000006</v>
      </c>
      <c r="C25" s="65">
        <v>138906703.56999999</v>
      </c>
      <c r="D25" s="65">
        <v>234733049.89999998</v>
      </c>
      <c r="E25" s="65">
        <v>13627954</v>
      </c>
      <c r="F25" s="65">
        <v>128085.66</v>
      </c>
      <c r="G25" s="65">
        <v>0</v>
      </c>
      <c r="H25" s="65">
        <v>13903994.300000001</v>
      </c>
      <c r="I25" s="65">
        <v>2772166.5</v>
      </c>
      <c r="J25" s="66">
        <f t="shared" si="0"/>
        <v>474665285.33000004</v>
      </c>
      <c r="K25" s="26"/>
    </row>
    <row r="26" spans="1:11" x14ac:dyDescent="0.25">
      <c r="A26" s="17" t="s">
        <v>19</v>
      </c>
      <c r="B26" s="32">
        <v>58107364.469999991</v>
      </c>
      <c r="C26" s="65">
        <v>53030267.360000007</v>
      </c>
      <c r="D26" s="65">
        <v>56946200.269999996</v>
      </c>
      <c r="E26" s="65">
        <v>10720099.359999999</v>
      </c>
      <c r="F26" s="65">
        <v>711973.38</v>
      </c>
      <c r="G26" s="65">
        <v>90056.29</v>
      </c>
      <c r="H26" s="65">
        <v>3386680.1900000004</v>
      </c>
      <c r="I26" s="65">
        <v>1096990.21</v>
      </c>
      <c r="J26" s="66">
        <f t="shared" si="0"/>
        <v>184089631.52999997</v>
      </c>
      <c r="K26" s="26"/>
    </row>
    <row r="27" spans="1:11" ht="15.75" thickBot="1" x14ac:dyDescent="0.3">
      <c r="A27" s="17" t="s">
        <v>23</v>
      </c>
      <c r="B27" s="32">
        <v>330225417.82000005</v>
      </c>
      <c r="C27" s="65">
        <v>487324353.18000001</v>
      </c>
      <c r="D27" s="65">
        <v>887392709.12</v>
      </c>
      <c r="E27" s="65">
        <v>51380758.910000004</v>
      </c>
      <c r="F27" s="65">
        <v>16055947.520000001</v>
      </c>
      <c r="G27" s="65">
        <v>18287148.639999997</v>
      </c>
      <c r="H27" s="65">
        <v>0</v>
      </c>
      <c r="I27" s="65">
        <v>9732596.0099999998</v>
      </c>
      <c r="J27" s="66">
        <f t="shared" si="0"/>
        <v>1800398931.2</v>
      </c>
      <c r="K27" s="26"/>
    </row>
    <row r="28" spans="1:11" x14ac:dyDescent="0.25">
      <c r="A28" s="3" t="s">
        <v>0</v>
      </c>
      <c r="B28" s="8">
        <f t="shared" ref="B28:G28" si="1">SUM(B11:B27)</f>
        <v>2773982149.5300002</v>
      </c>
      <c r="C28" s="8">
        <f t="shared" si="1"/>
        <v>4310917187.1400003</v>
      </c>
      <c r="D28" s="8">
        <f t="shared" si="1"/>
        <v>7386299291.5799999</v>
      </c>
      <c r="E28" s="8">
        <f t="shared" si="1"/>
        <v>324018760.17000002</v>
      </c>
      <c r="F28" s="8">
        <f t="shared" si="1"/>
        <v>306243897.19999999</v>
      </c>
      <c r="G28" s="8">
        <f t="shared" si="1"/>
        <v>54970130.530000001</v>
      </c>
      <c r="H28" s="8">
        <f t="shared" ref="H28:I28" si="2">SUM(H11:H27)</f>
        <v>49918294.590000004</v>
      </c>
      <c r="I28" s="8">
        <f t="shared" si="2"/>
        <v>93499098.890000015</v>
      </c>
      <c r="J28" s="8">
        <f>SUM(J11:J27)</f>
        <v>15299848809.629999</v>
      </c>
      <c r="K28" s="26"/>
    </row>
    <row r="30" spans="1:11" x14ac:dyDescent="0.25">
      <c r="A30" s="24" t="s">
        <v>76</v>
      </c>
      <c r="B30" s="10"/>
      <c r="C30" s="10"/>
      <c r="D30" s="10"/>
      <c r="I30" s="10"/>
    </row>
    <row r="31" spans="1:11" x14ac:dyDescent="0.25">
      <c r="J31" s="10"/>
    </row>
    <row r="32" spans="1:11" ht="42.6" customHeight="1" x14ac:dyDescent="0.25">
      <c r="A32" s="279" t="s">
        <v>61</v>
      </c>
      <c r="B32" s="279"/>
      <c r="C32" s="279"/>
      <c r="D32" s="279"/>
      <c r="E32" s="279"/>
      <c r="F32" s="279"/>
      <c r="G32" s="279"/>
      <c r="H32" s="279"/>
      <c r="I32" s="279"/>
      <c r="J32" s="279"/>
    </row>
    <row r="33" spans="1:10" ht="15" customHeight="1" x14ac:dyDescent="0.25"/>
    <row r="34" spans="1:10" ht="15" customHeight="1" x14ac:dyDescent="0.25"/>
    <row r="35" spans="1:10" ht="15" customHeight="1" x14ac:dyDescent="0.25">
      <c r="A35" s="261"/>
    </row>
    <row r="36" spans="1:10" ht="15" customHeight="1" x14ac:dyDescent="0.25"/>
    <row r="37" spans="1:10" ht="15" customHeight="1" x14ac:dyDescent="0.25">
      <c r="A37" s="280"/>
      <c r="B37" s="280"/>
      <c r="C37" s="280"/>
      <c r="D37" s="280"/>
      <c r="E37" s="280"/>
      <c r="F37" s="280"/>
      <c r="G37" s="280"/>
      <c r="H37" s="280"/>
      <c r="I37" s="280"/>
      <c r="J37" s="280"/>
    </row>
    <row r="39" spans="1:10" x14ac:dyDescent="0.25">
      <c r="C39" s="64"/>
      <c r="D39" s="64"/>
    </row>
    <row r="40" spans="1:10" x14ac:dyDescent="0.25">
      <c r="C40" s="64"/>
      <c r="D40" s="64"/>
    </row>
    <row r="41" spans="1:10" x14ac:dyDescent="0.25">
      <c r="C41" s="64"/>
      <c r="D41" s="64"/>
    </row>
    <row r="42" spans="1:10" x14ac:dyDescent="0.25">
      <c r="C42" s="64"/>
      <c r="D42" s="64"/>
    </row>
    <row r="43" spans="1:10" x14ac:dyDescent="0.25">
      <c r="C43" s="64"/>
      <c r="D43" s="64"/>
    </row>
    <row r="44" spans="1:10" x14ac:dyDescent="0.25">
      <c r="C44" s="64"/>
      <c r="D44" s="64"/>
    </row>
  </sheetData>
  <mergeCells count="3">
    <mergeCell ref="A8:D8"/>
    <mergeCell ref="A32:J32"/>
    <mergeCell ref="A37:J37"/>
  </mergeCells>
  <pageMargins left="0.70866141732283472" right="0.70866141732283472" top="0.78740157480314965" bottom="0.78740157480314965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Beendete Verfahren</vt:lpstr>
      <vt:lpstr>Laufende Verfahren</vt:lpstr>
      <vt:lpstr>KHG 4_4a</vt:lpstr>
      <vt:lpstr>CT</vt:lpstr>
      <vt:lpstr>'Beendete Verfahren'!Druckbereich</vt:lpstr>
      <vt:lpstr>CT!Druckbereich</vt:lpstr>
      <vt:lpstr>'KHG 4_4a'!Druckbereich</vt:lpstr>
      <vt:lpstr>'Laufende Verfahren'!Druckbereich</vt:lpstr>
    </vt:vector>
  </TitlesOfParts>
  <Company>Bundesversicherungsamt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Livya Nagel</dc:creator>
  <cp:lastModifiedBy>Dario Brinkmann</cp:lastModifiedBy>
  <cp:lastPrinted>2022-08-08T07:49:53Z</cp:lastPrinted>
  <dcterms:created xsi:type="dcterms:W3CDTF">2020-05-25T11:00:32Z</dcterms:created>
  <dcterms:modified xsi:type="dcterms:W3CDTF">2022-08-23T14:56:28Z</dcterms:modified>
</cp:coreProperties>
</file>